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5360" windowHeight="8130" tabRatio="720" firstSheet="1" activeTab="1"/>
  </bookViews>
  <sheets>
    <sheet name="Overview and Instructions" sheetId="10" r:id="rId1"/>
    <sheet name="ROI Calculator" sheetId="8" r:id="rId2"/>
    <sheet name="Cost Worksheet" sheetId="2" r:id="rId3"/>
    <sheet name="Benefits Worksheet" sheetId="6" r:id="rId4"/>
    <sheet name="Calculations" sheetId="5"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15" i="5" l="1"/>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14" i="5"/>
  <c r="N10" i="5"/>
  <c r="N11" i="5"/>
  <c r="N12" i="5"/>
  <c r="N13" i="5"/>
  <c r="N9" i="5"/>
  <c r="N8" i="5"/>
  <c r="M15" i="5" l="1"/>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14" i="5"/>
  <c r="M9" i="5"/>
  <c r="M10" i="5"/>
  <c r="M11" i="5"/>
  <c r="M12" i="5"/>
  <c r="M13" i="5"/>
  <c r="M8" i="5"/>
  <c r="I8" i="5"/>
  <c r="E72" i="2"/>
  <c r="E71" i="2"/>
  <c r="E70" i="2"/>
  <c r="F8" i="5" l="1"/>
  <c r="AC15" i="5" l="1"/>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14" i="5"/>
  <c r="AC9" i="5"/>
  <c r="AC10" i="5"/>
  <c r="AC11" i="5"/>
  <c r="AC12" i="5"/>
  <c r="AC13" i="5"/>
  <c r="AC8" i="5"/>
  <c r="Z8" i="5"/>
  <c r="AA8" i="5" s="1"/>
  <c r="Y8" i="5"/>
  <c r="L15" i="5" l="1"/>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14" i="5"/>
  <c r="L9" i="5"/>
  <c r="L10" i="5"/>
  <c r="L11" i="5"/>
  <c r="L12" i="5"/>
  <c r="L13" i="5"/>
  <c r="L8" i="5"/>
  <c r="I15" i="5"/>
  <c r="Q15" i="5" s="1"/>
  <c r="I16" i="5"/>
  <c r="I17" i="5"/>
  <c r="I18" i="5"/>
  <c r="Q18" i="5" s="1"/>
  <c r="I19" i="5"/>
  <c r="Q19" i="5" s="1"/>
  <c r="I20" i="5"/>
  <c r="T20" i="5" s="1"/>
  <c r="I21" i="5"/>
  <c r="I22" i="5"/>
  <c r="Q22" i="5" s="1"/>
  <c r="I23" i="5"/>
  <c r="Q23" i="5" s="1"/>
  <c r="I24" i="5"/>
  <c r="I25" i="5"/>
  <c r="I26" i="5"/>
  <c r="Q26" i="5" s="1"/>
  <c r="I27" i="5"/>
  <c r="Q27" i="5" s="1"/>
  <c r="I28" i="5"/>
  <c r="T28" i="5" s="1"/>
  <c r="I29" i="5"/>
  <c r="I30" i="5"/>
  <c r="Q30" i="5" s="1"/>
  <c r="I31" i="5"/>
  <c r="Q31" i="5" s="1"/>
  <c r="I32" i="5"/>
  <c r="I33" i="5"/>
  <c r="I34" i="5"/>
  <c r="Q34" i="5" s="1"/>
  <c r="I35" i="5"/>
  <c r="Q35" i="5" s="1"/>
  <c r="I36" i="5"/>
  <c r="T36" i="5" s="1"/>
  <c r="I37" i="5"/>
  <c r="I38" i="5"/>
  <c r="Q38" i="5" s="1"/>
  <c r="I39" i="5"/>
  <c r="Q39" i="5" s="1"/>
  <c r="I40" i="5"/>
  <c r="I41" i="5"/>
  <c r="I42" i="5"/>
  <c r="Q42" i="5" s="1"/>
  <c r="I43" i="5"/>
  <c r="Q43" i="5" s="1"/>
  <c r="I44" i="5"/>
  <c r="T44" i="5" s="1"/>
  <c r="I45" i="5"/>
  <c r="I46" i="5"/>
  <c r="Q46" i="5" s="1"/>
  <c r="I47" i="5"/>
  <c r="Q47" i="5" s="1"/>
  <c r="I14" i="5"/>
  <c r="I9" i="5"/>
  <c r="I10" i="5"/>
  <c r="T10" i="5" s="1"/>
  <c r="I11" i="5"/>
  <c r="T11" i="5" s="1"/>
  <c r="I12" i="5"/>
  <c r="O12" i="5" s="1"/>
  <c r="I13" i="5"/>
  <c r="H8" i="5"/>
  <c r="G8" i="5"/>
  <c r="E8" i="5"/>
  <c r="E9" i="5"/>
  <c r="D8" i="5"/>
  <c r="C8" i="5"/>
  <c r="B8" i="5"/>
  <c r="O38" i="5" l="1"/>
  <c r="P18" i="5"/>
  <c r="O30" i="5"/>
  <c r="S46" i="5"/>
  <c r="O22" i="5"/>
  <c r="T42" i="5"/>
  <c r="P34" i="5"/>
  <c r="T38" i="5"/>
  <c r="O46" i="5"/>
  <c r="P10" i="5"/>
  <c r="S18" i="5"/>
  <c r="S35" i="5"/>
  <c r="O35" i="5"/>
  <c r="O19" i="5"/>
  <c r="P46" i="5"/>
  <c r="P30" i="5"/>
  <c r="T47" i="5"/>
  <c r="S38" i="5"/>
  <c r="S27" i="5"/>
  <c r="T15" i="5"/>
  <c r="O47" i="5"/>
  <c r="O39" i="5"/>
  <c r="O31" i="5"/>
  <c r="O23" i="5"/>
  <c r="O15" i="5"/>
  <c r="P38" i="5"/>
  <c r="P22" i="5"/>
  <c r="T46" i="5"/>
  <c r="S43" i="5"/>
  <c r="S39" i="5"/>
  <c r="T35" i="5"/>
  <c r="T31" i="5"/>
  <c r="S26" i="5"/>
  <c r="S22" i="5"/>
  <c r="T18" i="5"/>
  <c r="S31" i="5"/>
  <c r="T27" i="5"/>
  <c r="T23" i="5"/>
  <c r="O43" i="5"/>
  <c r="O27" i="5"/>
  <c r="S42" i="5"/>
  <c r="T34" i="5"/>
  <c r="T30" i="5"/>
  <c r="S23" i="5"/>
  <c r="T19" i="5"/>
  <c r="O42" i="5"/>
  <c r="O34" i="5"/>
  <c r="O26" i="5"/>
  <c r="O18" i="5"/>
  <c r="P42" i="5"/>
  <c r="P26" i="5"/>
  <c r="S47" i="5"/>
  <c r="T43" i="5"/>
  <c r="T39" i="5"/>
  <c r="S34" i="5"/>
  <c r="S30" i="5"/>
  <c r="T26" i="5"/>
  <c r="T22" i="5"/>
  <c r="S19" i="5"/>
  <c r="S15" i="5"/>
  <c r="R10" i="5"/>
  <c r="Q11" i="5"/>
  <c r="P11" i="5"/>
  <c r="Q10" i="5"/>
  <c r="O11" i="5"/>
  <c r="R11" i="5"/>
  <c r="T9" i="5"/>
  <c r="R9" i="5"/>
  <c r="S9" i="5"/>
  <c r="O9" i="5"/>
  <c r="Q41" i="5"/>
  <c r="R41" i="5"/>
  <c r="O41" i="5"/>
  <c r="S41" i="5"/>
  <c r="P41" i="5"/>
  <c r="Q33" i="5"/>
  <c r="S33" i="5"/>
  <c r="R33" i="5"/>
  <c r="O33" i="5"/>
  <c r="P33" i="5"/>
  <c r="Q25" i="5"/>
  <c r="S25" i="5"/>
  <c r="R25" i="5"/>
  <c r="O25" i="5"/>
  <c r="P25" i="5"/>
  <c r="Q17" i="5"/>
  <c r="S17" i="5"/>
  <c r="R17" i="5"/>
  <c r="O17" i="5"/>
  <c r="P17" i="5"/>
  <c r="T41" i="5"/>
  <c r="Q9" i="5"/>
  <c r="T12" i="5"/>
  <c r="P12" i="5"/>
  <c r="R12" i="5"/>
  <c r="S12" i="5"/>
  <c r="T14" i="5"/>
  <c r="O14" i="5"/>
  <c r="R14" i="5"/>
  <c r="S14" i="5"/>
  <c r="P14" i="5"/>
  <c r="Q44" i="5"/>
  <c r="O44" i="5"/>
  <c r="S44" i="5"/>
  <c r="R44" i="5"/>
  <c r="P44" i="5"/>
  <c r="Q40" i="5"/>
  <c r="O40" i="5"/>
  <c r="S40" i="5"/>
  <c r="R40" i="5"/>
  <c r="P40" i="5"/>
  <c r="Q36" i="5"/>
  <c r="O36" i="5"/>
  <c r="S36" i="5"/>
  <c r="R36" i="5"/>
  <c r="P36" i="5"/>
  <c r="Q32" i="5"/>
  <c r="O32" i="5"/>
  <c r="R32" i="5"/>
  <c r="P32" i="5"/>
  <c r="S32" i="5"/>
  <c r="Q28" i="5"/>
  <c r="O28" i="5"/>
  <c r="R28" i="5"/>
  <c r="P28" i="5"/>
  <c r="S28" i="5"/>
  <c r="Q24" i="5"/>
  <c r="O24" i="5"/>
  <c r="R24" i="5"/>
  <c r="P24" i="5"/>
  <c r="S24" i="5"/>
  <c r="Q20" i="5"/>
  <c r="O20" i="5"/>
  <c r="R20" i="5"/>
  <c r="P20" i="5"/>
  <c r="S20" i="5"/>
  <c r="Q16" i="5"/>
  <c r="O16" i="5"/>
  <c r="S16" i="5"/>
  <c r="R16" i="5"/>
  <c r="P16" i="5"/>
  <c r="Q14" i="5"/>
  <c r="T40" i="5"/>
  <c r="T32" i="5"/>
  <c r="T24" i="5"/>
  <c r="T16" i="5"/>
  <c r="Q12" i="5"/>
  <c r="T13" i="5"/>
  <c r="S13" i="5"/>
  <c r="P13" i="5"/>
  <c r="O13" i="5"/>
  <c r="R13" i="5"/>
  <c r="Q45" i="5"/>
  <c r="P45" i="5"/>
  <c r="R45" i="5"/>
  <c r="O45" i="5"/>
  <c r="S45" i="5"/>
  <c r="Q37" i="5"/>
  <c r="P37" i="5"/>
  <c r="R37" i="5"/>
  <c r="O37" i="5"/>
  <c r="S37" i="5"/>
  <c r="Q29" i="5"/>
  <c r="S29" i="5"/>
  <c r="P29" i="5"/>
  <c r="R29" i="5"/>
  <c r="O29" i="5"/>
  <c r="Q21" i="5"/>
  <c r="S21" i="5"/>
  <c r="P21" i="5"/>
  <c r="R21" i="5"/>
  <c r="O21" i="5"/>
  <c r="T33" i="5"/>
  <c r="T25" i="5"/>
  <c r="T17" i="5"/>
  <c r="P9" i="5"/>
  <c r="T45" i="5"/>
  <c r="T37" i="5"/>
  <c r="T29" i="5"/>
  <c r="T21" i="5"/>
  <c r="Q13" i="5"/>
  <c r="R47" i="5"/>
  <c r="R46" i="5"/>
  <c r="R43" i="5"/>
  <c r="R42" i="5"/>
  <c r="R39" i="5"/>
  <c r="R38" i="5"/>
  <c r="R35" i="5"/>
  <c r="R34" i="5"/>
  <c r="R31" i="5"/>
  <c r="R30" i="5"/>
  <c r="R27" i="5"/>
  <c r="R26" i="5"/>
  <c r="R23" i="5"/>
  <c r="R22" i="5"/>
  <c r="R19" i="5"/>
  <c r="R18" i="5"/>
  <c r="R15" i="5"/>
  <c r="S10" i="5"/>
  <c r="S11" i="5"/>
  <c r="T8" i="5"/>
  <c r="O8" i="5"/>
  <c r="O10" i="5"/>
  <c r="P47" i="5"/>
  <c r="P43" i="5"/>
  <c r="P39" i="5"/>
  <c r="P35" i="5"/>
  <c r="P31" i="5"/>
  <c r="P27" i="5"/>
  <c r="P23" i="5"/>
  <c r="P19" i="5"/>
  <c r="P15" i="5"/>
  <c r="P8" i="5"/>
  <c r="Q8" i="5"/>
  <c r="R8" i="5"/>
  <c r="S8"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G11" i="5" l="1"/>
  <c r="G10" i="5"/>
  <c r="G9" i="5"/>
  <c r="F11" i="5"/>
  <c r="F10" i="5"/>
  <c r="F9" i="5"/>
  <c r="E11" i="5"/>
  <c r="D11" i="5"/>
  <c r="D10" i="5"/>
  <c r="D9" i="5"/>
  <c r="C11" i="5"/>
  <c r="C10" i="5"/>
  <c r="C9" i="5"/>
  <c r="D42" i="2"/>
  <c r="E10" i="5" s="1"/>
  <c r="D41" i="2"/>
  <c r="D40" i="2"/>
  <c r="H13" i="5"/>
  <c r="J13" i="5" s="1"/>
  <c r="K13" i="5" s="1"/>
  <c r="H14" i="5"/>
  <c r="J14" i="5" s="1"/>
  <c r="K14" i="5" s="1"/>
  <c r="H15" i="5"/>
  <c r="J15" i="5" s="1"/>
  <c r="K15" i="5" s="1"/>
  <c r="H16" i="5"/>
  <c r="H17" i="5"/>
  <c r="J17" i="5" s="1"/>
  <c r="K17" i="5" s="1"/>
  <c r="H18" i="5"/>
  <c r="J18" i="5" s="1"/>
  <c r="K18" i="5" s="1"/>
  <c r="H19" i="5"/>
  <c r="J19" i="5" s="1"/>
  <c r="K19" i="5" s="1"/>
  <c r="H20" i="5"/>
  <c r="J20" i="5" s="1"/>
  <c r="K20" i="5" s="1"/>
  <c r="H21" i="5"/>
  <c r="J21" i="5" s="1"/>
  <c r="K21" i="5" s="1"/>
  <c r="H22" i="5"/>
  <c r="J22" i="5" s="1"/>
  <c r="K22" i="5" s="1"/>
  <c r="H23" i="5"/>
  <c r="J23" i="5" s="1"/>
  <c r="K23" i="5" s="1"/>
  <c r="H24" i="5"/>
  <c r="J24" i="5" s="1"/>
  <c r="K24" i="5" s="1"/>
  <c r="H25" i="5"/>
  <c r="H26" i="5"/>
  <c r="J26" i="5" s="1"/>
  <c r="K26" i="5" s="1"/>
  <c r="H27" i="5"/>
  <c r="J27" i="5" s="1"/>
  <c r="K27" i="5" s="1"/>
  <c r="H28" i="5"/>
  <c r="J28" i="5" s="1"/>
  <c r="K28" i="5" s="1"/>
  <c r="H29" i="5"/>
  <c r="J29" i="5" s="1"/>
  <c r="K29" i="5" s="1"/>
  <c r="H30" i="5"/>
  <c r="J30" i="5" s="1"/>
  <c r="K30" i="5" s="1"/>
  <c r="H31" i="5"/>
  <c r="J31" i="5" s="1"/>
  <c r="K31" i="5" s="1"/>
  <c r="H32" i="5"/>
  <c r="J32" i="5" s="1"/>
  <c r="K32" i="5" s="1"/>
  <c r="H33" i="5"/>
  <c r="H34" i="5"/>
  <c r="J34" i="5" s="1"/>
  <c r="K34" i="5" s="1"/>
  <c r="H35" i="5"/>
  <c r="J35" i="5" s="1"/>
  <c r="K35" i="5" s="1"/>
  <c r="H36" i="5"/>
  <c r="J36" i="5" s="1"/>
  <c r="K36" i="5" s="1"/>
  <c r="H37" i="5"/>
  <c r="J37" i="5" s="1"/>
  <c r="K37" i="5" s="1"/>
  <c r="H38" i="5"/>
  <c r="J38" i="5" s="1"/>
  <c r="K38" i="5" s="1"/>
  <c r="H39" i="5"/>
  <c r="J39" i="5" s="1"/>
  <c r="K39" i="5" s="1"/>
  <c r="H40" i="5"/>
  <c r="J40" i="5" s="1"/>
  <c r="K40" i="5" s="1"/>
  <c r="H41" i="5"/>
  <c r="H42" i="5"/>
  <c r="J42" i="5" s="1"/>
  <c r="K42" i="5" s="1"/>
  <c r="H43" i="5"/>
  <c r="J43" i="5" s="1"/>
  <c r="K43" i="5" s="1"/>
  <c r="H44" i="5"/>
  <c r="J44" i="5" s="1"/>
  <c r="K44" i="5" s="1"/>
  <c r="H45" i="5"/>
  <c r="J45" i="5" s="1"/>
  <c r="K45" i="5" s="1"/>
  <c r="H46" i="5"/>
  <c r="J46" i="5" s="1"/>
  <c r="K46" i="5" s="1"/>
  <c r="H47" i="5"/>
  <c r="J47" i="5" s="1"/>
  <c r="K47" i="5" s="1"/>
  <c r="H12" i="5"/>
  <c r="J12" i="5" s="1"/>
  <c r="E56" i="2"/>
  <c r="E55" i="2"/>
  <c r="E54" i="2"/>
  <c r="E79" i="2"/>
  <c r="E49" i="2"/>
  <c r="E48" i="2"/>
  <c r="E47" i="2"/>
  <c r="E43" i="2"/>
  <c r="E42" i="2"/>
  <c r="E41" i="2"/>
  <c r="E37" i="2"/>
  <c r="E36" i="2"/>
  <c r="E35" i="2"/>
  <c r="E31" i="2"/>
  <c r="E30" i="2"/>
  <c r="E29" i="2"/>
  <c r="E8" i="2"/>
  <c r="E17" i="6"/>
  <c r="E15" i="6"/>
  <c r="E16" i="6"/>
  <c r="E64" i="2"/>
  <c r="E63" i="2"/>
  <c r="E65" i="2"/>
  <c r="E78" i="2"/>
  <c r="E77" i="2"/>
  <c r="H10" i="5"/>
  <c r="E8" i="8"/>
  <c r="H11" i="5"/>
  <c r="H9" i="5"/>
  <c r="Z47" i="5"/>
  <c r="AA47" i="5" s="1"/>
  <c r="AB47" i="5"/>
  <c r="Z46" i="5"/>
  <c r="AA46" i="5" s="1"/>
  <c r="Z45" i="5"/>
  <c r="Z44" i="5"/>
  <c r="AA44" i="5" s="1"/>
  <c r="Z43" i="5"/>
  <c r="AA43" i="5" s="1"/>
  <c r="Z42" i="5"/>
  <c r="AA42" i="5" s="1"/>
  <c r="Z41" i="5"/>
  <c r="Z40" i="5"/>
  <c r="AA40" i="5" s="1"/>
  <c r="Z39" i="5"/>
  <c r="AA39" i="5" s="1"/>
  <c r="Z38" i="5"/>
  <c r="AA38" i="5" s="1"/>
  <c r="Z37" i="5"/>
  <c r="Z36" i="5"/>
  <c r="AA36" i="5" s="1"/>
  <c r="Z35" i="5"/>
  <c r="AA35" i="5" s="1"/>
  <c r="Z34" i="5"/>
  <c r="Z33" i="5"/>
  <c r="AA33" i="5" s="1"/>
  <c r="Z32" i="5"/>
  <c r="Z31" i="5"/>
  <c r="AA31" i="5" s="1"/>
  <c r="Z30" i="5"/>
  <c r="AA30" i="5" s="1"/>
  <c r="AB30" i="5" s="1"/>
  <c r="Z29" i="5"/>
  <c r="AA29" i="5" s="1"/>
  <c r="Z28" i="5"/>
  <c r="AA28" i="5" s="1"/>
  <c r="Z27" i="5"/>
  <c r="AA27" i="5" s="1"/>
  <c r="Z26" i="5"/>
  <c r="Z25" i="5"/>
  <c r="AA25" i="5" s="1"/>
  <c r="Z24" i="5"/>
  <c r="Z23" i="5"/>
  <c r="AA23" i="5" s="1"/>
  <c r="Z22" i="5"/>
  <c r="AA22" i="5" s="1"/>
  <c r="AB22" i="5" s="1"/>
  <c r="AD22" i="5" s="1"/>
  <c r="Z21" i="5"/>
  <c r="AA21" i="5" s="1"/>
  <c r="Z20" i="5"/>
  <c r="AA20" i="5" s="1"/>
  <c r="Z19" i="5"/>
  <c r="AA19" i="5" s="1"/>
  <c r="AB19" i="5" s="1"/>
  <c r="AD19" i="5" s="1"/>
  <c r="Z18" i="5"/>
  <c r="AA18" i="5" s="1"/>
  <c r="Z17" i="5"/>
  <c r="AA17" i="5" s="1"/>
  <c r="Z16" i="5"/>
  <c r="AA16" i="5" s="1"/>
  <c r="Z15" i="5"/>
  <c r="Z14" i="5"/>
  <c r="AA14" i="5" s="1"/>
  <c r="Z13" i="5"/>
  <c r="AA13" i="5" s="1"/>
  <c r="Z12" i="5"/>
  <c r="AA12" i="5" s="1"/>
  <c r="Z11" i="5"/>
  <c r="Z10" i="5"/>
  <c r="AA10" i="5" s="1"/>
  <c r="Z9" i="5"/>
  <c r="AA9" i="5" s="1"/>
  <c r="AB9" i="5" s="1"/>
  <c r="AB8" i="5"/>
  <c r="AI50" i="5"/>
  <c r="J16" i="5"/>
  <c r="J25" i="5"/>
  <c r="K25" i="5" s="1"/>
  <c r="J33" i="5"/>
  <c r="J41" i="5"/>
  <c r="B48" i="5"/>
  <c r="L48" i="5"/>
  <c r="D48" i="5"/>
  <c r="E48" i="5"/>
  <c r="G48" i="5"/>
  <c r="C48" i="5"/>
  <c r="F48" i="5"/>
  <c r="AA11" i="5" l="1"/>
  <c r="AB11" i="5" s="1"/>
  <c r="AD11" i="5" s="1"/>
  <c r="AA32" i="5"/>
  <c r="AB32" i="5" s="1"/>
  <c r="AA34" i="5"/>
  <c r="AB34" i="5" s="1"/>
  <c r="AD34" i="5" s="1"/>
  <c r="AA24" i="5"/>
  <c r="AA15" i="5"/>
  <c r="AB15" i="5" s="1"/>
  <c r="AD15" i="5" s="1"/>
  <c r="AA26" i="5"/>
  <c r="AB26" i="5" s="1"/>
  <c r="AD26" i="5" s="1"/>
  <c r="AA37" i="5"/>
  <c r="AB37" i="5" s="1"/>
  <c r="AD37" i="5" s="1"/>
  <c r="AA41" i="5"/>
  <c r="AA45" i="5"/>
  <c r="AB45" i="5" s="1"/>
  <c r="AD45" i="5" s="1"/>
  <c r="U31" i="5"/>
  <c r="U15" i="5"/>
  <c r="AD30" i="5"/>
  <c r="J9" i="5"/>
  <c r="K9" i="5" s="1"/>
  <c r="J11" i="5"/>
  <c r="K11" i="5" s="1"/>
  <c r="U24" i="5"/>
  <c r="K12" i="5"/>
  <c r="J8" i="5"/>
  <c r="K41" i="5"/>
  <c r="U28" i="5"/>
  <c r="U36" i="5"/>
  <c r="U27" i="5"/>
  <c r="U35" i="5"/>
  <c r="AD47" i="5"/>
  <c r="J10" i="5"/>
  <c r="AB14" i="5"/>
  <c r="AD14" i="5" s="1"/>
  <c r="AB25" i="5"/>
  <c r="AD25" i="5" s="1"/>
  <c r="AB33" i="5"/>
  <c r="AD33" i="5" s="1"/>
  <c r="AB38" i="5"/>
  <c r="AD38" i="5" s="1"/>
  <c r="AB46" i="5"/>
  <c r="AD46" i="5" s="1"/>
  <c r="AB12" i="5"/>
  <c r="AD12" i="5" s="1"/>
  <c r="AB20" i="5"/>
  <c r="AD20" i="5" s="1"/>
  <c r="AB23" i="5"/>
  <c r="AD23" i="5" s="1"/>
  <c r="AB31" i="5"/>
  <c r="AD31" i="5" s="1"/>
  <c r="AB44" i="5"/>
  <c r="AD44" i="5" s="1"/>
  <c r="AD8" i="5"/>
  <c r="AB10" i="5"/>
  <c r="AD10" i="5" s="1"/>
  <c r="AB18" i="5"/>
  <c r="AD18" i="5" s="1"/>
  <c r="AB21" i="5"/>
  <c r="AD21" i="5" s="1"/>
  <c r="AB29" i="5"/>
  <c r="AD29" i="5" s="1"/>
  <c r="AB42" i="5"/>
  <c r="AD42" i="5" s="1"/>
  <c r="AB16" i="5"/>
  <c r="AD16" i="5" s="1"/>
  <c r="AB27" i="5"/>
  <c r="AD27" i="5" s="1"/>
  <c r="AB35" i="5"/>
  <c r="AD35" i="5" s="1"/>
  <c r="AB40" i="5"/>
  <c r="AD40" i="5" s="1"/>
  <c r="K16" i="5"/>
  <c r="K33" i="5"/>
  <c r="AD9" i="5"/>
  <c r="AB13" i="5"/>
  <c r="AD13" i="5" s="1"/>
  <c r="AB17" i="5"/>
  <c r="AD17" i="5" s="1"/>
  <c r="AB28" i="5"/>
  <c r="AD28" i="5" s="1"/>
  <c r="AB36" i="5"/>
  <c r="AD36" i="5" s="1"/>
  <c r="AB39" i="5"/>
  <c r="AD39" i="5" s="1"/>
  <c r="AB43" i="5"/>
  <c r="AD43" i="5" s="1"/>
  <c r="U20" i="5"/>
  <c r="AB48" i="5"/>
  <c r="N48" i="5"/>
  <c r="J48" i="5"/>
  <c r="AA48" i="5"/>
  <c r="P48" i="5"/>
  <c r="O48" i="5"/>
  <c r="S48" i="5"/>
  <c r="T48" i="5"/>
  <c r="R48" i="5"/>
  <c r="AD48" i="5"/>
  <c r="AC48" i="5"/>
  <c r="Q48" i="5"/>
  <c r="K8" i="5" l="1"/>
  <c r="U8" i="5" s="1"/>
  <c r="AH8" i="5" s="1"/>
  <c r="AD32" i="5"/>
  <c r="AB41" i="5"/>
  <c r="AD41" i="5" s="1"/>
  <c r="AB24" i="5"/>
  <c r="AD24" i="5" s="1"/>
  <c r="U23" i="5"/>
  <c r="U43" i="5"/>
  <c r="U19" i="5"/>
  <c r="U47" i="5"/>
  <c r="U39" i="5"/>
  <c r="U44" i="5"/>
  <c r="U17" i="5"/>
  <c r="U11" i="5"/>
  <c r="AH11" i="5" s="1"/>
  <c r="U42" i="5"/>
  <c r="U32" i="5"/>
  <c r="U45" i="5"/>
  <c r="U38" i="5"/>
  <c r="U14" i="5"/>
  <c r="U9" i="5"/>
  <c r="AH9" i="5" s="1"/>
  <c r="U22" i="5"/>
  <c r="U26" i="5"/>
  <c r="U16" i="5"/>
  <c r="U41" i="5"/>
  <c r="U18" i="5"/>
  <c r="U21" i="5"/>
  <c r="U13" i="5"/>
  <c r="AH13" i="5" s="1"/>
  <c r="U34" i="5"/>
  <c r="U40" i="5"/>
  <c r="U12" i="5"/>
  <c r="AH12" i="5" s="1"/>
  <c r="U33" i="5"/>
  <c r="D20" i="8"/>
  <c r="U30" i="5"/>
  <c r="U37" i="5"/>
  <c r="U25" i="5"/>
  <c r="U46" i="5"/>
  <c r="U29" i="5"/>
  <c r="D14" i="8"/>
  <c r="K10" i="5"/>
  <c r="K48" i="5"/>
  <c r="D13" i="8" l="1"/>
  <c r="D15" i="8" s="1"/>
  <c r="D16" i="8" s="1"/>
  <c r="U10" i="5"/>
  <c r="AH10" i="5" s="1"/>
  <c r="AH50" i="5" s="1"/>
  <c r="D19" i="8"/>
  <c r="D21" i="8" s="1"/>
  <c r="D22" i="8" s="1"/>
  <c r="U48" i="5"/>
  <c r="AH48" i="5"/>
  <c r="D23" i="8" l="1"/>
</calcChain>
</file>

<file path=xl/sharedStrings.xml><?xml version="1.0" encoding="utf-8"?>
<sst xmlns="http://schemas.openxmlformats.org/spreadsheetml/2006/main" count="213" uniqueCount="142">
  <si>
    <t>Screening</t>
  </si>
  <si>
    <t>Wages/</t>
  </si>
  <si>
    <t>Wages</t>
  </si>
  <si>
    <t>Regular</t>
  </si>
  <si>
    <t>Total</t>
  </si>
  <si>
    <t>Year</t>
  </si>
  <si>
    <t>Admin</t>
  </si>
  <si>
    <t>Tuition</t>
  </si>
  <si>
    <t>Hour</t>
  </si>
  <si>
    <t>Benefits</t>
  </si>
  <si>
    <t>Production</t>
  </si>
  <si>
    <t>Books</t>
  </si>
  <si>
    <t xml:space="preserve">  Search/</t>
  </si>
  <si>
    <t>Savings</t>
  </si>
  <si>
    <t>Turnover</t>
  </si>
  <si>
    <t>Overtime</t>
  </si>
  <si>
    <t>Net Apprenticeship</t>
  </si>
  <si>
    <t>Employee</t>
  </si>
  <si>
    <t>Mentor</t>
  </si>
  <si>
    <t>Regular Employee</t>
  </si>
  <si>
    <t>Net</t>
  </si>
  <si>
    <t>Benefit</t>
  </si>
  <si>
    <t>Annual</t>
  </si>
  <si>
    <t>Apprentice Program — Benefits and Costs Compared with Hiring Regular Employees</t>
  </si>
  <si>
    <t>Apprentice Program</t>
  </si>
  <si>
    <t>Apprentice –</t>
  </si>
  <si>
    <t>Net Gain from</t>
  </si>
  <si>
    <t>apprentice program:</t>
  </si>
  <si>
    <t>implementing apprenticeship program</t>
  </si>
  <si>
    <t>A. Cost of Apprentice Recruitment and Training</t>
  </si>
  <si>
    <t>A.</t>
  </si>
  <si>
    <t>Cost of Apprentice Recruitment and Training</t>
  </si>
  <si>
    <t>A1.</t>
  </si>
  <si>
    <t>A2.</t>
  </si>
  <si>
    <t>What is the per-apprentice cost of recruitment, search, screening, etc.?</t>
  </si>
  <si>
    <t>Teachers or Consultants</t>
  </si>
  <si>
    <t>First year</t>
  </si>
  <si>
    <t>Second year</t>
  </si>
  <si>
    <t>Third year</t>
  </si>
  <si>
    <t>Fourth year</t>
  </si>
  <si>
    <t>Fill in the average hourly wages of apprentices for each year in your program.</t>
  </si>
  <si>
    <t>What are your company's benefits as a percentage of wages?</t>
  </si>
  <si>
    <t>B.</t>
  </si>
  <si>
    <t>B. Apprentice Costs</t>
  </si>
  <si>
    <t>Recruitment</t>
  </si>
  <si>
    <t>Teacher</t>
  </si>
  <si>
    <t>B2.</t>
  </si>
  <si>
    <t>B3.</t>
  </si>
  <si>
    <t>B4.</t>
  </si>
  <si>
    <t>General Questions</t>
  </si>
  <si>
    <t>C.</t>
  </si>
  <si>
    <t>C1.</t>
  </si>
  <si>
    <t>C2.</t>
  </si>
  <si>
    <t>C3.</t>
  </si>
  <si>
    <t>Fixed costs</t>
  </si>
  <si>
    <t xml:space="preserve">Add up the total annual fixed costs of your apprenticeship. These include any costs that </t>
  </si>
  <si>
    <t xml:space="preserve">do not vary based on the number of apprentices you have, such as curriculum </t>
  </si>
  <si>
    <t>development, equipment purchases, overhead, and classroom space.</t>
  </si>
  <si>
    <t>Wage and Benefit Costs</t>
  </si>
  <si>
    <t>D.</t>
  </si>
  <si>
    <t>Fixed Costs</t>
  </si>
  <si>
    <t>D4.</t>
  </si>
  <si>
    <t>How many years is your apprenticeship program?</t>
  </si>
  <si>
    <t>Regular production work</t>
  </si>
  <si>
    <t>Hours</t>
  </si>
  <si>
    <t>Avoided</t>
  </si>
  <si>
    <t>Other</t>
  </si>
  <si>
    <t>Think about the main production work that your company does. What is the annual revenue value to your company of the work of a standard, entry-level employee?</t>
  </si>
  <si>
    <t>Relative apprentice productivity</t>
  </si>
  <si>
    <t>Other Benefits</t>
  </si>
  <si>
    <t>B1.</t>
  </si>
  <si>
    <t>Cost Savings</t>
  </si>
  <si>
    <t>If you have identified other benefits, enter them here.</t>
  </si>
  <si>
    <t>Value of Production</t>
  </si>
  <si>
    <t>For each year of the apprenticeship, what is the relative productivity of an average apprentice compared to the standard, entry-level employee above? For example, if a second-year apprentice is approximately half as productive as a regular employee, enter 50%.</t>
  </si>
  <si>
    <t>Reduced</t>
  </si>
  <si>
    <t>Other Cost</t>
  </si>
  <si>
    <t>Mistakes</t>
  </si>
  <si>
    <t>In November 2016, the Department of Commerce and Case Western Reserve University published a joint report, "The Benefits and Costs of Apprenticeship: A Business Perspective." As a follow-up to this work, the Department seeks to aid firms in putting the findings and observations from that report into action.</t>
  </si>
  <si>
    <t>APPRENTICESHIP BENEFIT AND COST CALCULATOR</t>
  </si>
  <si>
    <t>This tool, the Apprenticeship Benefit and Cost Calculator, will allow your firm to estimate the potential return on investment from your existing or planned apprenticeship program. The enclosed worksheets, tools, and discussion will guide you through the process of thinking about and calculating the potential dollar value of apprenticeship.</t>
  </si>
  <si>
    <t>Calculate the costs of your program.</t>
  </si>
  <si>
    <t>Step 1.</t>
  </si>
  <si>
    <t>Step 2.</t>
  </si>
  <si>
    <t>Calculate the potential benefits of your program.</t>
  </si>
  <si>
    <t>Total cost of your program (per apprentice)</t>
  </si>
  <si>
    <t>Total potential benefits of your program (per apprentice)</t>
  </si>
  <si>
    <t>Step 3.</t>
  </si>
  <si>
    <t>Simple return on investment (per apprentice)</t>
  </si>
  <si>
    <t>On a per-dollar-invested basis</t>
  </si>
  <si>
    <t>Simple return (benefits minus costs)</t>
  </si>
  <si>
    <t>Base counterfactual (apprentice vs. off-the-street hire)</t>
  </si>
  <si>
    <t>Total net cost of your program (per apprentice)</t>
  </si>
  <si>
    <t>Total net potential benefits of your program (per apprentice)</t>
  </si>
  <si>
    <t>"The Benefits and Costs of Apprenticeship: A Business Perspective"</t>
  </si>
  <si>
    <t>Report</t>
  </si>
  <si>
    <t>For how many hours do you pay apprentices in each year of the program?</t>
  </si>
  <si>
    <t>Flexibility</t>
  </si>
  <si>
    <t>How many apprentices begin each year?</t>
  </si>
  <si>
    <t>In which year do your apprentices begin receiving fringe benefits?</t>
  </si>
  <si>
    <t>Mentors (use mentor's hourly wage rate and pro-rated hours as an estimate)</t>
  </si>
  <si>
    <t>Examples: certification exams, pre-apprenticeship training</t>
  </si>
  <si>
    <t>Other apprenticeship-related costs</t>
  </si>
  <si>
    <t>Suggestion: Estimate the number of years you expect an average apprentice</t>
  </si>
  <si>
    <t>to remain with your company (including their apprenticeship period).</t>
  </si>
  <si>
    <r>
      <t xml:space="preserve">DISCLAIMER: </t>
    </r>
    <r>
      <rPr>
        <sz val="11"/>
        <color rgb="FFFF0000"/>
        <rFont val="Verdana"/>
        <family val="2"/>
      </rPr>
      <t>The contents of this workbook are intended to be a tool for firms to better understand the costs and benefits of their current or planned apprenticeship programs. The tool is predictive and addresses only potential return; it should not be relied upon as the sole factor for decision-making. The Department of Commerce is not responsible for any loss or gains if predictive calculations are used for investment decisions.</t>
    </r>
  </si>
  <si>
    <t>Click here to get started!</t>
  </si>
  <si>
    <t>Enter values in the green boxes.</t>
  </si>
  <si>
    <t>CALCULATE THE POTENTIAL BENEFITS OF YOUR APPRENTICESHIP PROGRAM</t>
  </si>
  <si>
    <t>CALCULATE THE COSTS OF YOUR APPRENTICESHIP PROGRAM</t>
  </si>
  <si>
    <t>Internal rate of return</t>
  </si>
  <si>
    <t>Note: This tool is a beta version intended for testing purposes only.</t>
  </si>
  <si>
    <t>Choose the number of years (from 2 to 40) over which you want to estimate ROI</t>
  </si>
  <si>
    <t>CALCULATE THE POTENTIAL ROI FOR YOUR APPRENTICESHIP PROGRAM</t>
  </si>
  <si>
    <t>What is the cost of recruitment, search, and screening for a non-apprentice?</t>
  </si>
  <si>
    <t>Return to ROI Calculator</t>
  </si>
  <si>
    <t>C4.</t>
  </si>
  <si>
    <t>C5.</t>
  </si>
  <si>
    <t>C6.</t>
  </si>
  <si>
    <t>C7.</t>
  </si>
  <si>
    <t>D1.</t>
  </si>
  <si>
    <t>D2.</t>
  </si>
  <si>
    <t>D3.</t>
  </si>
  <si>
    <t>For each of the following items, enter the per-year, per-apprentice cost. If you don't track the costs on that basis, add up the total and divide by the number of years in your program and the number of apprentices per year. If non-apprentices incur these costs as well, do not count them here--these costs should be unique to apprentices.</t>
  </si>
  <si>
    <t>Value of reduced turnover (per year, per apprentice)</t>
  </si>
  <si>
    <t>Value of avoided overtime (per year, per apprentice)</t>
  </si>
  <si>
    <t>Value of avoided mistakes or errors (per year, per apprentice)</t>
  </si>
  <si>
    <t>Other cost savings (per year, per apprentice)</t>
  </si>
  <si>
    <t>Other benefits (per year, per apprentice)</t>
  </si>
  <si>
    <t>Value of employee flexibility (per year, per apprentice)</t>
  </si>
  <si>
    <t>Apprentice Net</t>
  </si>
  <si>
    <t>C. Apprentice Benefits</t>
  </si>
  <si>
    <t>Cost of Employee Recruitment and Training</t>
  </si>
  <si>
    <t>Hiring Off-the-Street (Non-Apprentice) Employee</t>
  </si>
  <si>
    <t xml:space="preserve">Instructions for using this tool </t>
  </si>
  <si>
    <t xml:space="preserve">For the following benefits, it may be helpful to think about the period before you began your apprenticeship compared to the period after. If you do not have data on post-apprenticeship benefits yet, you can use this section to help estimate how much improvement you'll need in order to get a positive return.
</t>
  </si>
  <si>
    <r>
      <t xml:space="preserve">Enter values in </t>
    </r>
    <r>
      <rPr>
        <sz val="10"/>
        <color rgb="FF00B050"/>
        <rFont val="Verdana"/>
        <family val="2"/>
      </rPr>
      <t>green</t>
    </r>
    <r>
      <rPr>
        <sz val="10"/>
        <color theme="1"/>
        <rFont val="Verdana"/>
        <family val="2"/>
        <charset val="128"/>
      </rPr>
      <t xml:space="preserve"> cells on the sheets "ROI Calculator," "Cost Worksheet," and "Benefits Worksheet" to calculate the potential ROI of your apprenticeship program. </t>
    </r>
    <r>
      <rPr>
        <sz val="10"/>
        <color theme="0" tint="-0.499984740745262"/>
        <rFont val="Verdana"/>
        <family val="2"/>
      </rPr>
      <t>Gray</t>
    </r>
    <r>
      <rPr>
        <sz val="10"/>
        <color theme="1"/>
        <rFont val="Verdana"/>
        <family val="2"/>
        <charset val="128"/>
      </rPr>
      <t xml:space="preserve"> cells are pre-programmed to calculate values.
"Calculations" sheet uses the values entered on the previous sheets to calculate the annual return on investment.  The sheet "ROI Calculator" provides summary results of the return on investment for the number of years specified by the user. </t>
    </r>
  </si>
  <si>
    <t>Wage after completing apprenticeship</t>
  </si>
  <si>
    <t xml:space="preserve">The calculator examines the costs and benefits of an entire cohort of apprentices.  For simplicity, it assumes that the entire cohort completes the program.  Companies also may want to consider the costs incurred and benefits received from the work performed by apprentices that do not complete the program and remain with the company. </t>
  </si>
  <si>
    <t>Hours after completing apprenticeship</t>
  </si>
  <si>
    <t>D5.</t>
  </si>
  <si>
    <t>How many hours are apprentices working in your facility each year of the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</si>
</sst>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quot;$&quot;#,##0;[Red]&quot;$&quot;\-#,##0"/>
    <numFmt numFmtId="165" formatCode="&quot;$&quot;#,##0.00;[Red]&quot;$&quot;\-#,##0.00"/>
    <numFmt numFmtId="166" formatCode="0.0%"/>
    <numFmt numFmtId="167" formatCode="@*."/>
    <numFmt numFmtId="168" formatCode="&quot;$&quot;#,##0.00"/>
    <numFmt numFmtId="169" formatCode="_(* #,##0_);_(* \(#,##0\);_(* &quot;-&quot;??_);_(@_)"/>
    <numFmt numFmtId="170" formatCode="&quot;$&quot;#,##0;[Red]&quot;$&quot;#,##0"/>
    <numFmt numFmtId="171" formatCode="#.#&quot;%&quot;;[Red]\-#.#&quot;%&quot;"/>
    <numFmt numFmtId="172" formatCode="#.##&quot;%&quot;;[Red]\-#.##&quot;%&quot;"/>
  </numFmts>
  <fonts count="21">
    <font>
      <sz val="10"/>
      <color theme="1"/>
      <name val="Verdana"/>
      <family val="2"/>
      <charset val="128"/>
    </font>
    <font>
      <b/>
      <sz val="10"/>
      <color theme="1"/>
      <name val="Verdana"/>
      <family val="2"/>
    </font>
    <font>
      <b/>
      <sz val="18"/>
      <color theme="1"/>
      <name val="Verdana"/>
      <family val="2"/>
    </font>
    <font>
      <sz val="14"/>
      <color theme="1"/>
      <name val="Verdana"/>
      <family val="2"/>
    </font>
    <font>
      <b/>
      <sz val="14"/>
      <color theme="1"/>
      <name val="Verdana"/>
      <family val="2"/>
    </font>
    <font>
      <sz val="10"/>
      <name val="Verdana"/>
      <family val="2"/>
    </font>
    <font>
      <u/>
      <sz val="10"/>
      <color theme="10"/>
      <name val="Verdana"/>
      <family val="2"/>
    </font>
    <font>
      <u/>
      <sz val="10"/>
      <color theme="11"/>
      <name val="Verdana"/>
      <family val="2"/>
    </font>
    <font>
      <sz val="10"/>
      <color theme="1"/>
      <name val="Verdana"/>
      <family val="2"/>
    </font>
    <font>
      <sz val="8"/>
      <color theme="1"/>
      <name val="Verdana"/>
      <family val="2"/>
    </font>
    <font>
      <i/>
      <sz val="10"/>
      <color theme="1"/>
      <name val="Verdana"/>
      <family val="2"/>
    </font>
    <font>
      <sz val="11"/>
      <color rgb="FFFF0000"/>
      <name val="Verdana"/>
      <family val="2"/>
    </font>
    <font>
      <b/>
      <sz val="14"/>
      <color rgb="FFFF0000"/>
      <name val="Verdana"/>
      <family val="2"/>
    </font>
    <font>
      <b/>
      <sz val="11"/>
      <color rgb="FFFF0000"/>
      <name val="Verdana"/>
      <family val="2"/>
    </font>
    <font>
      <u/>
      <sz val="14"/>
      <color theme="10"/>
      <name val="Verdana"/>
      <family val="2"/>
    </font>
    <font>
      <i/>
      <sz val="8"/>
      <color theme="1"/>
      <name val="Verdana"/>
      <family val="2"/>
    </font>
    <font>
      <b/>
      <sz val="10"/>
      <color rgb="FFFF0000"/>
      <name val="Verdana"/>
      <family val="2"/>
    </font>
    <font>
      <b/>
      <i/>
      <sz val="10"/>
      <color theme="1"/>
      <name val="Verdana"/>
      <family val="2"/>
    </font>
    <font>
      <b/>
      <sz val="16"/>
      <color theme="1"/>
      <name val="Verdana"/>
      <family val="2"/>
    </font>
    <font>
      <sz val="10"/>
      <color rgb="FF00B050"/>
      <name val="Verdana"/>
      <family val="2"/>
    </font>
    <font>
      <sz val="10"/>
      <color theme="0" tint="-0.499984740745262"/>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BFFFA7"/>
        <bgColor indexed="64"/>
      </patternFill>
    </fill>
  </fills>
  <borders count="12">
    <border>
      <left/>
      <right/>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2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52">
    <xf numFmtId="0" fontId="0" fillId="0" borderId="0" xfId="0"/>
    <xf numFmtId="0" fontId="0" fillId="2" borderId="0" xfId="0" applyFill="1"/>
    <xf numFmtId="0" fontId="9" fillId="2" borderId="0" xfId="0" applyFont="1" applyFill="1"/>
    <xf numFmtId="0" fontId="1" fillId="2" borderId="0" xfId="0" applyFont="1" applyFill="1"/>
    <xf numFmtId="167" fontId="0" fillId="2" borderId="0" xfId="0" applyNumberFormat="1" applyFill="1"/>
    <xf numFmtId="0" fontId="10" fillId="2" borderId="0" xfId="0" applyFont="1" applyFill="1"/>
    <xf numFmtId="0" fontId="0" fillId="2" borderId="0" xfId="0" applyFill="1" applyAlignment="1">
      <alignment horizontal="center"/>
    </xf>
    <xf numFmtId="0" fontId="0" fillId="2" borderId="0" xfId="0" applyFill="1" applyBorder="1" applyAlignment="1">
      <alignment horizontal="center"/>
    </xf>
    <xf numFmtId="168" fontId="0" fillId="2" borderId="0" xfId="0" applyNumberFormat="1" applyFill="1" applyAlignment="1">
      <alignment horizontal="center"/>
    </xf>
    <xf numFmtId="164" fontId="2" fillId="2" borderId="0" xfId="0" applyNumberFormat="1" applyFont="1" applyFill="1"/>
    <xf numFmtId="0" fontId="2" fillId="2" borderId="0" xfId="0" applyFont="1" applyFill="1"/>
    <xf numFmtId="165" fontId="2" fillId="2" borderId="0" xfId="0" applyNumberFormat="1" applyFont="1" applyFill="1"/>
    <xf numFmtId="0" fontId="3" fillId="2" borderId="0" xfId="0" applyFont="1" applyFill="1" applyAlignment="1">
      <alignment horizontal="center"/>
    </xf>
    <xf numFmtId="164" fontId="3" fillId="2" borderId="0" xfId="0" applyNumberFormat="1" applyFont="1" applyFill="1"/>
    <xf numFmtId="0" fontId="3" fillId="2" borderId="0" xfId="0" applyFont="1" applyFill="1"/>
    <xf numFmtId="164" fontId="4" fillId="2" borderId="0" xfId="0" applyNumberFormat="1" applyFont="1" applyFill="1"/>
    <xf numFmtId="164" fontId="0" fillId="2" borderId="0" xfId="0" applyNumberFormat="1" applyFill="1" applyAlignment="1">
      <alignment horizontal="center"/>
    </xf>
    <xf numFmtId="165" fontId="0" fillId="2" borderId="0" xfId="0" applyNumberFormat="1" applyFill="1"/>
    <xf numFmtId="164" fontId="0" fillId="2" borderId="0" xfId="0" applyNumberFormat="1" applyFill="1"/>
    <xf numFmtId="164" fontId="1" fillId="2" borderId="0" xfId="0" applyNumberFormat="1" applyFont="1" applyFill="1" applyAlignment="1">
      <alignment horizontal="center"/>
    </xf>
    <xf numFmtId="0" fontId="0" fillId="2" borderId="0" xfId="0" applyFill="1" applyAlignment="1"/>
    <xf numFmtId="0" fontId="1" fillId="2" borderId="0" xfId="0" applyFont="1" applyFill="1" applyAlignment="1"/>
    <xf numFmtId="165" fontId="1" fillId="2" borderId="0" xfId="0" applyNumberFormat="1" applyFont="1" applyFill="1"/>
    <xf numFmtId="164" fontId="1" fillId="2" borderId="0" xfId="0" applyNumberFormat="1" applyFont="1" applyFill="1" applyBorder="1" applyAlignment="1">
      <alignment horizontal="left"/>
    </xf>
    <xf numFmtId="165" fontId="0" fillId="2" borderId="0" xfId="0" applyNumberFormat="1" applyFill="1" applyBorder="1"/>
    <xf numFmtId="164" fontId="0" fillId="2" borderId="0" xfId="0" applyNumberFormat="1" applyFill="1" applyBorder="1"/>
    <xf numFmtId="164" fontId="1" fillId="2" borderId="2"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5" xfId="0" applyNumberFormat="1" applyFont="1" applyFill="1" applyBorder="1" applyAlignment="1">
      <alignment horizontal="centerContinuous"/>
    </xf>
    <xf numFmtId="164" fontId="0" fillId="2" borderId="5" xfId="0" applyNumberFormat="1" applyFill="1" applyBorder="1" applyAlignment="1">
      <alignment horizontal="centerContinuous"/>
    </xf>
    <xf numFmtId="164" fontId="0" fillId="2" borderId="6" xfId="0" applyNumberFormat="1" applyFill="1" applyBorder="1" applyAlignment="1">
      <alignment horizontal="centerContinuous"/>
    </xf>
    <xf numFmtId="164" fontId="1" fillId="2" borderId="0" xfId="0" applyNumberFormat="1" applyFont="1" applyFill="1" applyAlignment="1"/>
    <xf numFmtId="165" fontId="1" fillId="2" borderId="0" xfId="0" applyNumberFormat="1" applyFont="1" applyFill="1" applyAlignment="1">
      <alignment horizontal="center"/>
    </xf>
    <xf numFmtId="164" fontId="1" fillId="2" borderId="0" xfId="0" applyNumberFormat="1" applyFont="1" applyFill="1" applyBorder="1" applyAlignment="1">
      <alignment horizontal="center"/>
    </xf>
    <xf numFmtId="164" fontId="1" fillId="2" borderId="4" xfId="0" applyNumberFormat="1" applyFont="1" applyFill="1" applyBorder="1" applyAlignment="1">
      <alignment horizontal="center"/>
    </xf>
    <xf numFmtId="164" fontId="0" fillId="2" borderId="2" xfId="0" applyNumberFormat="1" applyFont="1" applyFill="1" applyBorder="1" applyAlignment="1"/>
    <xf numFmtId="164" fontId="0" fillId="2" borderId="0" xfId="0" applyNumberFormat="1" applyFont="1" applyFill="1" applyAlignment="1"/>
    <xf numFmtId="165" fontId="0" fillId="2" borderId="0" xfId="0" applyNumberFormat="1" applyFont="1" applyFill="1" applyAlignment="1"/>
    <xf numFmtId="164" fontId="0" fillId="2" borderId="0" xfId="0" applyNumberFormat="1" applyFill="1" applyAlignment="1"/>
    <xf numFmtId="164" fontId="0" fillId="2" borderId="0" xfId="0" applyNumberFormat="1" applyFill="1" applyBorder="1" applyAlignment="1">
      <alignment horizontal="right"/>
    </xf>
    <xf numFmtId="164" fontId="0" fillId="2" borderId="4" xfId="0" applyNumberFormat="1" applyFill="1" applyBorder="1" applyAlignment="1">
      <alignment horizontal="right"/>
    </xf>
    <xf numFmtId="164" fontId="0" fillId="2" borderId="0" xfId="0" applyNumberFormat="1" applyFont="1" applyFill="1"/>
    <xf numFmtId="164" fontId="0" fillId="2" borderId="7" xfId="0" applyNumberFormat="1" applyFont="1" applyFill="1" applyBorder="1" applyAlignment="1"/>
    <xf numFmtId="165" fontId="0" fillId="2" borderId="1" xfId="0" applyNumberFormat="1" applyFont="1" applyFill="1" applyBorder="1" applyAlignment="1"/>
    <xf numFmtId="164" fontId="0" fillId="2" borderId="1" xfId="0" applyNumberFormat="1" applyFill="1" applyBorder="1" applyAlignment="1"/>
    <xf numFmtId="164" fontId="0" fillId="2" borderId="2" xfId="0" applyNumberFormat="1" applyFill="1" applyBorder="1" applyAlignment="1"/>
    <xf numFmtId="165" fontId="5" fillId="2" borderId="0" xfId="0" applyNumberFormat="1" applyFont="1" applyFill="1" applyAlignment="1"/>
    <xf numFmtId="164" fontId="0" fillId="2" borderId="0" xfId="0" applyNumberFormat="1" applyFill="1" applyBorder="1" applyAlignment="1"/>
    <xf numFmtId="164" fontId="5" fillId="2" borderId="0" xfId="0" applyNumberFormat="1" applyFont="1" applyFill="1" applyAlignment="1"/>
    <xf numFmtId="165" fontId="0" fillId="2" borderId="0" xfId="0" applyNumberFormat="1" applyFill="1" applyAlignment="1"/>
    <xf numFmtId="164" fontId="1" fillId="2" borderId="3" xfId="0" applyNumberFormat="1" applyFont="1" applyFill="1" applyBorder="1" applyAlignment="1"/>
    <xf numFmtId="166" fontId="1" fillId="2" borderId="0" xfId="0" applyNumberFormat="1" applyFont="1" applyFill="1"/>
    <xf numFmtId="164" fontId="0" fillId="2" borderId="0" xfId="0" applyNumberFormat="1" applyFont="1" applyFill="1" applyBorder="1" applyAlignment="1"/>
    <xf numFmtId="164" fontId="0" fillId="2" borderId="4" xfId="0" applyNumberFormat="1" applyFont="1" applyFill="1" applyBorder="1" applyAlignment="1"/>
    <xf numFmtId="0" fontId="1" fillId="2" borderId="1" xfId="0" applyFont="1" applyFill="1" applyBorder="1" applyAlignment="1">
      <alignment horizontal="center"/>
    </xf>
    <xf numFmtId="164" fontId="1" fillId="2" borderId="7"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8" xfId="0" applyNumberFormat="1" applyFont="1" applyFill="1" applyBorder="1" applyAlignment="1">
      <alignment horizontal="center"/>
    </xf>
    <xf numFmtId="165" fontId="1" fillId="2" borderId="1" xfId="0" applyNumberFormat="1" applyFont="1" applyFill="1" applyBorder="1" applyAlignment="1">
      <alignment horizontal="center"/>
    </xf>
    <xf numFmtId="164" fontId="0" fillId="2" borderId="11" xfId="0" applyNumberFormat="1" applyFill="1" applyBorder="1" applyAlignment="1">
      <alignment horizontal="right"/>
    </xf>
    <xf numFmtId="164" fontId="5" fillId="2" borderId="4" xfId="0" applyNumberFormat="1" applyFont="1" applyFill="1" applyBorder="1" applyAlignment="1"/>
    <xf numFmtId="168" fontId="0" fillId="2" borderId="0" xfId="0" applyNumberFormat="1" applyFill="1" applyBorder="1" applyAlignment="1">
      <alignment horizontal="center"/>
    </xf>
    <xf numFmtId="164" fontId="0" fillId="2" borderId="6" xfId="0" applyNumberFormat="1" applyFill="1" applyBorder="1" applyAlignment="1"/>
    <xf numFmtId="3" fontId="0" fillId="2" borderId="0" xfId="0" applyNumberFormat="1" applyFill="1" applyBorder="1" applyAlignment="1">
      <alignment horizontal="center"/>
    </xf>
    <xf numFmtId="169" fontId="0" fillId="2" borderId="0" xfId="122" applyNumberFormat="1" applyFont="1" applyFill="1" applyAlignment="1"/>
    <xf numFmtId="0" fontId="0" fillId="2" borderId="5" xfId="0" applyFill="1" applyBorder="1" applyAlignment="1">
      <alignment horizontal="center"/>
    </xf>
    <xf numFmtId="0" fontId="0" fillId="3" borderId="0" xfId="0" applyFill="1"/>
    <xf numFmtId="168" fontId="0" fillId="3" borderId="0" xfId="0" applyNumberFormat="1" applyFill="1" applyAlignment="1">
      <alignment horizontal="center"/>
    </xf>
    <xf numFmtId="0" fontId="6" fillId="2" borderId="0" xfId="123" quotePrefix="1" applyFill="1"/>
    <xf numFmtId="0" fontId="6" fillId="2" borderId="0" xfId="123" applyFill="1"/>
    <xf numFmtId="164" fontId="4" fillId="2" borderId="0" xfId="0" applyNumberFormat="1" applyFont="1" applyFill="1"/>
    <xf numFmtId="0" fontId="13" fillId="2" borderId="0" xfId="0" applyFont="1" applyFill="1" applyAlignment="1">
      <alignment vertical="top" wrapText="1"/>
    </xf>
    <xf numFmtId="0" fontId="12" fillId="2" borderId="0" xfId="0" applyFont="1" applyFill="1" applyAlignment="1">
      <alignment vertical="top" wrapText="1"/>
    </xf>
    <xf numFmtId="0" fontId="0" fillId="2" borderId="0" xfId="0" applyFill="1" applyAlignment="1">
      <alignment wrapText="1"/>
    </xf>
    <xf numFmtId="0" fontId="0" fillId="2" borderId="0" xfId="0" applyFill="1"/>
    <xf numFmtId="0" fontId="0" fillId="4" borderId="0" xfId="0" applyFill="1"/>
    <xf numFmtId="0" fontId="0" fillId="5" borderId="0" xfId="0" applyFill="1"/>
    <xf numFmtId="0" fontId="1" fillId="4" borderId="0" xfId="0" applyFont="1" applyFill="1"/>
    <xf numFmtId="0" fontId="0" fillId="5" borderId="0" xfId="0" applyFill="1" applyAlignment="1">
      <alignment horizontal="center"/>
    </xf>
    <xf numFmtId="0" fontId="0" fillId="4" borderId="0" xfId="0" applyFill="1" applyAlignment="1">
      <alignment horizontal="center"/>
    </xf>
    <xf numFmtId="0" fontId="10" fillId="5" borderId="0" xfId="0" applyFont="1" applyFill="1"/>
    <xf numFmtId="164" fontId="4" fillId="2" borderId="0" xfId="0" applyNumberFormat="1" applyFont="1" applyFill="1"/>
    <xf numFmtId="0" fontId="0" fillId="2" borderId="0" xfId="0" applyFill="1"/>
    <xf numFmtId="0" fontId="0" fillId="2" borderId="0" xfId="0" applyFill="1"/>
    <xf numFmtId="0" fontId="10" fillId="2" borderId="0" xfId="0" applyFont="1" applyFill="1" applyAlignment="1"/>
    <xf numFmtId="0" fontId="0" fillId="2" borderId="0" xfId="0" applyFill="1"/>
    <xf numFmtId="0" fontId="14" fillId="2" borderId="0" xfId="123" applyFont="1" applyFill="1"/>
    <xf numFmtId="0" fontId="10" fillId="2" borderId="0" xfId="0" applyFont="1" applyFill="1" applyAlignment="1">
      <alignment horizontal="center"/>
    </xf>
    <xf numFmtId="0" fontId="15" fillId="2" borderId="0" xfId="0" applyFont="1" applyFill="1"/>
    <xf numFmtId="170" fontId="0" fillId="2" borderId="0" xfId="0" applyNumberFormat="1" applyFont="1" applyFill="1" applyAlignment="1"/>
    <xf numFmtId="9" fontId="0" fillId="2" borderId="0" xfId="121" applyFont="1" applyFill="1" applyAlignment="1">
      <alignment horizontal="center"/>
    </xf>
    <xf numFmtId="0" fontId="16" fillId="2" borderId="0" xfId="0" applyFont="1" applyFill="1"/>
    <xf numFmtId="0" fontId="5" fillId="2" borderId="0" xfId="0" applyFont="1" applyFill="1"/>
    <xf numFmtId="164" fontId="0" fillId="2" borderId="9" xfId="0" applyNumberFormat="1" applyFill="1" applyBorder="1" applyAlignment="1">
      <alignment horizontal="center"/>
    </xf>
    <xf numFmtId="0" fontId="0" fillId="2" borderId="0" xfId="0" applyFill="1"/>
    <xf numFmtId="164" fontId="1" fillId="2" borderId="11"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0" fillId="2" borderId="3" xfId="0" applyNumberFormat="1" applyFill="1" applyBorder="1" applyAlignment="1"/>
    <xf numFmtId="165" fontId="0" fillId="2" borderId="3" xfId="0" applyNumberFormat="1" applyFill="1" applyBorder="1" applyAlignment="1"/>
    <xf numFmtId="0" fontId="0" fillId="2" borderId="3" xfId="0" applyFill="1" applyBorder="1" applyAlignment="1"/>
    <xf numFmtId="0" fontId="1" fillId="4" borderId="0" xfId="0" applyFont="1" applyFill="1" applyAlignment="1">
      <alignment vertical="center"/>
    </xf>
    <xf numFmtId="171" fontId="1" fillId="2" borderId="0" xfId="0" applyNumberFormat="1" applyFont="1" applyFill="1"/>
    <xf numFmtId="0" fontId="0" fillId="5" borderId="0" xfId="0" applyFill="1" applyAlignment="1">
      <alignment vertical="center"/>
    </xf>
    <xf numFmtId="0" fontId="10" fillId="5" borderId="0" xfId="0" applyFont="1" applyFill="1" applyAlignment="1">
      <alignment vertical="center"/>
    </xf>
    <xf numFmtId="168" fontId="0" fillId="5" borderId="0" xfId="0" applyNumberFormat="1" applyFill="1" applyAlignment="1">
      <alignment horizontal="center" vertical="center"/>
    </xf>
    <xf numFmtId="166" fontId="0" fillId="2" borderId="0" xfId="121" applyNumberFormat="1" applyFont="1" applyFill="1" applyBorder="1" applyAlignment="1" applyProtection="1">
      <alignment horizontal="center"/>
      <protection locked="0"/>
    </xf>
    <xf numFmtId="168" fontId="0" fillId="2" borderId="0" xfId="0" applyNumberFormat="1" applyFill="1" applyBorder="1" applyAlignment="1" applyProtection="1">
      <alignment horizontal="center"/>
      <protection locked="0"/>
    </xf>
    <xf numFmtId="164" fontId="0" fillId="2" borderId="8" xfId="0" applyNumberFormat="1" applyFont="1" applyFill="1" applyBorder="1" applyAlignment="1"/>
    <xf numFmtId="164" fontId="0" fillId="2" borderId="11" xfId="0" applyNumberFormat="1" applyFont="1" applyFill="1" applyBorder="1" applyAlignment="1"/>
    <xf numFmtId="168" fontId="0" fillId="2" borderId="1" xfId="0" applyNumberFormat="1" applyFill="1" applyBorder="1" applyAlignment="1" applyProtection="1">
      <alignment horizontal="center"/>
      <protection locked="0"/>
    </xf>
    <xf numFmtId="168" fontId="0" fillId="2" borderId="3" xfId="0" applyNumberFormat="1" applyFill="1" applyBorder="1" applyAlignment="1" applyProtection="1">
      <alignment horizontal="center"/>
      <protection locked="0"/>
    </xf>
    <xf numFmtId="164" fontId="1" fillId="2" borderId="11" xfId="0" applyNumberFormat="1" applyFont="1" applyFill="1" applyBorder="1" applyAlignment="1">
      <alignment horizontal="center"/>
    </xf>
    <xf numFmtId="0" fontId="0" fillId="2" borderId="0" xfId="0" applyFill="1"/>
    <xf numFmtId="172" fontId="0" fillId="2" borderId="9" xfId="121" applyNumberFormat="1" applyFont="1" applyFill="1" applyBorder="1" applyAlignment="1">
      <alignment horizontal="center"/>
    </xf>
    <xf numFmtId="0" fontId="1" fillId="0" borderId="0" xfId="0" applyFont="1" applyFill="1"/>
    <xf numFmtId="0" fontId="4" fillId="4" borderId="0" xfId="0" applyFont="1" applyFill="1" applyAlignment="1">
      <alignment vertical="top" wrapText="1"/>
    </xf>
    <xf numFmtId="0" fontId="18" fillId="4" borderId="0" xfId="0" applyFont="1" applyFill="1" applyAlignment="1">
      <alignment horizontal="center" vertical="center"/>
    </xf>
    <xf numFmtId="0" fontId="0" fillId="2" borderId="0"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9" xfId="0" applyNumberFormat="1" applyFill="1" applyBorder="1" applyAlignment="1" applyProtection="1">
      <alignment horizontal="center"/>
      <protection locked="0"/>
    </xf>
    <xf numFmtId="9" fontId="0" fillId="6" borderId="9" xfId="121" applyFont="1" applyFill="1" applyBorder="1" applyAlignment="1" applyProtection="1">
      <alignment horizontal="center"/>
      <protection locked="0"/>
    </xf>
    <xf numFmtId="168" fontId="0" fillId="6" borderId="9" xfId="0" applyNumberFormat="1" applyFill="1" applyBorder="1" applyAlignment="1" applyProtection="1">
      <alignment horizontal="center"/>
      <protection locked="0"/>
    </xf>
    <xf numFmtId="3" fontId="0" fillId="6" borderId="9" xfId="0" applyNumberFormat="1" applyFill="1" applyBorder="1" applyAlignment="1" applyProtection="1">
      <alignment horizontal="center"/>
      <protection locked="0"/>
    </xf>
    <xf numFmtId="166" fontId="0" fillId="6" borderId="9" xfId="121" applyNumberFormat="1" applyFont="1" applyFill="1" applyBorder="1" applyAlignment="1" applyProtection="1">
      <alignment horizontal="center"/>
      <protection locked="0"/>
    </xf>
    <xf numFmtId="167" fontId="8" fillId="2" borderId="0" xfId="0" applyNumberFormat="1" applyFont="1" applyFill="1"/>
    <xf numFmtId="0" fontId="0" fillId="2" borderId="0" xfId="0" applyFill="1"/>
    <xf numFmtId="0" fontId="0" fillId="2" borderId="0" xfId="0" applyFill="1"/>
    <xf numFmtId="164" fontId="1" fillId="2" borderId="3"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2" borderId="0" xfId="0" applyFill="1"/>
    <xf numFmtId="0" fontId="1" fillId="4" borderId="0" xfId="0" applyFont="1" applyFill="1"/>
    <xf numFmtId="0" fontId="6" fillId="2" borderId="0" xfId="123" applyFill="1"/>
    <xf numFmtId="167" fontId="17" fillId="2" borderId="0" xfId="0" applyNumberFormat="1" applyFont="1" applyFill="1" applyAlignment="1">
      <alignment horizontal="center"/>
    </xf>
    <xf numFmtId="167" fontId="17" fillId="2" borderId="4" xfId="0" applyNumberFormat="1" applyFont="1" applyFill="1" applyBorder="1" applyAlignment="1">
      <alignment horizontal="center"/>
    </xf>
    <xf numFmtId="167" fontId="0" fillId="2" borderId="0" xfId="0" applyNumberFormat="1" applyFill="1" applyAlignment="1">
      <alignment horizontal="center"/>
    </xf>
    <xf numFmtId="167" fontId="0" fillId="2" borderId="4" xfId="0" applyNumberFormat="1" applyFill="1" applyBorder="1" applyAlignment="1">
      <alignment horizontal="center"/>
    </xf>
    <xf numFmtId="0" fontId="1" fillId="5" borderId="0" xfId="0" applyFont="1" applyFill="1"/>
    <xf numFmtId="0" fontId="10" fillId="3" borderId="0" xfId="0" applyFont="1" applyFill="1" applyAlignment="1">
      <alignment vertical="center" wrapText="1"/>
    </xf>
    <xf numFmtId="0" fontId="1" fillId="4" borderId="0" xfId="0" applyFont="1" applyFill="1" applyAlignment="1">
      <alignment vertical="center"/>
    </xf>
    <xf numFmtId="0" fontId="10" fillId="4" borderId="0" xfId="0" applyFont="1" applyFill="1" applyAlignment="1">
      <alignment wrapText="1"/>
    </xf>
    <xf numFmtId="0" fontId="10" fillId="5" borderId="0" xfId="0" applyFont="1" applyFill="1" applyAlignment="1">
      <alignment wrapText="1"/>
    </xf>
    <xf numFmtId="0" fontId="10" fillId="5" borderId="0" xfId="0" applyFont="1" applyFill="1" applyAlignment="1">
      <alignment vertical="center" wrapText="1"/>
    </xf>
    <xf numFmtId="164" fontId="1" fillId="2" borderId="10"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2" borderId="0" xfId="0" applyFont="1" applyFill="1" applyAlignment="1"/>
    <xf numFmtId="164" fontId="4" fillId="2" borderId="0" xfId="0" applyNumberFormat="1" applyFont="1" applyFill="1"/>
    <xf numFmtId="164" fontId="1" fillId="2" borderId="11"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cellXfs>
  <cellStyles count="129">
    <cellStyle name="Comma" xfId="122"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3" builtinId="8"/>
    <cellStyle name="Normal" xfId="0" builtinId="0"/>
    <cellStyle name="Percent" xfId="121" builtinId="5"/>
  </cellStyles>
  <dxfs count="21">
    <dxf>
      <font>
        <color theme="0" tint="-0.14996795556505021"/>
      </font>
      <fill>
        <patternFill>
          <bgColor theme="0"/>
        </patternFill>
      </fill>
    </dxf>
    <dxf>
      <font>
        <color theme="0" tint="-0.14996795556505021"/>
      </font>
      <fill>
        <patternFill>
          <bgColor theme="0"/>
        </patternFill>
      </fill>
    </dxf>
    <dxf>
      <font>
        <color theme="0" tint="-0.14996795556505021"/>
      </font>
      <fill>
        <patternFill>
          <bgColor theme="0" tint="-0.14996795556505021"/>
        </patternFill>
      </fill>
    </dxf>
    <dxf>
      <font>
        <color theme="0" tint="-0.24994659260841701"/>
      </font>
    </dxf>
    <dxf>
      <font>
        <color theme="0" tint="-0.24994659260841701"/>
      </font>
    </dxf>
    <dxf>
      <font>
        <color theme="0" tint="-0.14996795556505021"/>
      </font>
      <fill>
        <patternFill>
          <bgColor theme="0"/>
        </patternFill>
      </fill>
    </dxf>
    <dxf>
      <font>
        <b/>
        <i val="0"/>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Medium4"/>
  <colors>
    <mruColors>
      <color rgb="FFB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sa.doc.gov/reports/benefits-and-costs-apprenticeships-business-perspectiv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topLeftCell="A4" workbookViewId="0">
      <selection activeCell="A22" sqref="A22"/>
    </sheetView>
  </sheetViews>
  <sheetFormatPr defaultColWidth="8.75" defaultRowHeight="12.75"/>
  <cols>
    <col min="1" max="1" width="92.625" style="1" customWidth="1"/>
    <col min="2" max="16384" width="8.75" style="1"/>
  </cols>
  <sheetData>
    <row r="1" spans="1:9" ht="26.25" customHeight="1">
      <c r="A1" s="116" t="s">
        <v>79</v>
      </c>
    </row>
    <row r="3" spans="1:9" ht="38.25" customHeight="1">
      <c r="A3" s="73" t="s">
        <v>78</v>
      </c>
    </row>
    <row r="5" spans="1:9" ht="52.5" customHeight="1">
      <c r="A5" s="73" t="s">
        <v>80</v>
      </c>
    </row>
    <row r="7" spans="1:9" s="83" customFormat="1" ht="18">
      <c r="A7" s="86" t="s">
        <v>106</v>
      </c>
    </row>
    <row r="8" spans="1:9" s="83" customFormat="1" ht="18">
      <c r="A8" s="86"/>
    </row>
    <row r="9" spans="1:9" s="85" customFormat="1">
      <c r="A9" s="91" t="s">
        <v>111</v>
      </c>
    </row>
    <row r="10" spans="1:9" s="83" customFormat="1"/>
    <row r="11" spans="1:9" s="74" customFormat="1">
      <c r="A11" s="114" t="s">
        <v>95</v>
      </c>
    </row>
    <row r="12" spans="1:9" s="74" customFormat="1" ht="15" customHeight="1">
      <c r="A12" s="69" t="s">
        <v>94</v>
      </c>
    </row>
    <row r="13" spans="1:9" s="74" customFormat="1"/>
    <row r="14" spans="1:9" s="74" customFormat="1"/>
    <row r="15" spans="1:9" ht="74.25" customHeight="1">
      <c r="A15" s="71" t="s">
        <v>105</v>
      </c>
      <c r="B15" s="72"/>
      <c r="C15" s="72"/>
      <c r="D15" s="72"/>
      <c r="E15" s="72"/>
      <c r="F15" s="72"/>
      <c r="G15" s="72"/>
      <c r="H15" s="72"/>
      <c r="I15" s="72"/>
    </row>
    <row r="16" spans="1:9" ht="13.5" customHeight="1">
      <c r="A16" s="72"/>
      <c r="B16" s="72"/>
      <c r="C16" s="72"/>
      <c r="D16" s="72"/>
      <c r="E16" s="72"/>
      <c r="F16" s="72"/>
      <c r="G16" s="72"/>
      <c r="H16" s="72"/>
      <c r="I16" s="72"/>
    </row>
    <row r="17" spans="1:9" ht="13.5" customHeight="1">
      <c r="A17" s="72"/>
      <c r="B17" s="72"/>
      <c r="C17" s="72"/>
      <c r="D17" s="72"/>
      <c r="E17" s="72"/>
      <c r="F17" s="72"/>
      <c r="G17" s="72"/>
      <c r="H17" s="72"/>
      <c r="I17" s="72"/>
    </row>
    <row r="18" spans="1:9" ht="20.25" customHeight="1">
      <c r="A18" s="115" t="s">
        <v>134</v>
      </c>
      <c r="B18" s="72"/>
      <c r="C18" s="72"/>
      <c r="D18" s="72"/>
      <c r="E18" s="72"/>
      <c r="F18" s="72"/>
      <c r="G18" s="72"/>
      <c r="H18" s="72"/>
      <c r="I18" s="72"/>
    </row>
    <row r="19" spans="1:9" ht="99.75" customHeight="1">
      <c r="A19" s="73" t="s">
        <v>136</v>
      </c>
    </row>
    <row r="20" spans="1:9" ht="13.5" customHeight="1"/>
    <row r="21" spans="1:9" ht="13.5" customHeight="1"/>
    <row r="22" spans="1:9" ht="13.5" customHeight="1"/>
    <row r="23" spans="1:9" ht="13.5" customHeight="1"/>
  </sheetData>
  <hyperlinks>
    <hyperlink ref="A12" r:id="rId1"/>
    <hyperlink ref="A7" location="'ROI Calculator'!A1" display="Click here to get started!"/>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23"/>
  <sheetViews>
    <sheetView tabSelected="1" zoomScale="90" zoomScaleNormal="90" workbookViewId="0">
      <selection activeCell="D8" sqref="D8"/>
    </sheetView>
  </sheetViews>
  <sheetFormatPr defaultColWidth="8.75" defaultRowHeight="12.75"/>
  <cols>
    <col min="1" max="1" width="2.125" style="1" customWidth="1"/>
    <col min="2" max="2" width="5" style="1" customWidth="1"/>
    <col min="3" max="3" width="71" style="1" customWidth="1"/>
    <col min="4" max="4" width="14.875" style="1" customWidth="1"/>
    <col min="5" max="5" width="12.875" style="1" customWidth="1"/>
    <col min="6" max="16384" width="8.75" style="1"/>
  </cols>
  <sheetData>
    <row r="1" spans="1:5">
      <c r="A1" s="130" t="s">
        <v>113</v>
      </c>
      <c r="B1" s="130"/>
      <c r="C1" s="130"/>
      <c r="D1" s="130"/>
    </row>
    <row r="2" spans="1:5" s="83" customFormat="1">
      <c r="A2" s="5" t="s">
        <v>107</v>
      </c>
    </row>
    <row r="4" spans="1:5">
      <c r="A4" s="129" t="s">
        <v>82</v>
      </c>
      <c r="B4" s="129"/>
      <c r="C4" s="131" t="s">
        <v>81</v>
      </c>
      <c r="D4" s="131"/>
    </row>
    <row r="6" spans="1:5">
      <c r="A6" s="129" t="s">
        <v>83</v>
      </c>
      <c r="B6" s="129"/>
      <c r="C6" s="131" t="s">
        <v>84</v>
      </c>
      <c r="D6" s="131"/>
    </row>
    <row r="8" spans="1:5">
      <c r="A8" s="129" t="s">
        <v>87</v>
      </c>
      <c r="B8" s="129"/>
      <c r="C8" s="20" t="s">
        <v>112</v>
      </c>
      <c r="D8" s="119">
        <v>6</v>
      </c>
      <c r="E8" s="92" t="str">
        <f>IF($D$8&lt;2,"Number must be between 2 and 40",IF($D$8&gt;40,"Number must be between 2 and 40",IF($D$8&lt;&gt;INT($D$8),"Number must be an integer"," ")))</f>
        <v xml:space="preserve"> </v>
      </c>
    </row>
    <row r="9" spans="1:5" s="82" customFormat="1">
      <c r="C9" s="84" t="s">
        <v>103</v>
      </c>
      <c r="D9" s="7"/>
    </row>
    <row r="10" spans="1:5" s="82" customFormat="1">
      <c r="C10" s="84" t="s">
        <v>104</v>
      </c>
      <c r="D10" s="7"/>
    </row>
    <row r="12" spans="1:5">
      <c r="A12" s="136" t="s">
        <v>90</v>
      </c>
      <c r="B12" s="136"/>
      <c r="C12" s="136"/>
      <c r="D12" s="76"/>
    </row>
    <row r="13" spans="1:5">
      <c r="B13" s="134" t="s">
        <v>85</v>
      </c>
      <c r="C13" s="135"/>
      <c r="D13" s="93">
        <f ca="1">Calculations!B48+Calculations!C48+Calculations!D48+Calculations!E48+Calculations!F48+Calculations!G48+Calculations!J48+Calculations!K48+Calculations!L48</f>
        <v>-2743113.5</v>
      </c>
      <c r="E13" s="91"/>
    </row>
    <row r="14" spans="1:5">
      <c r="B14" s="134" t="s">
        <v>86</v>
      </c>
      <c r="C14" s="135"/>
      <c r="D14" s="93">
        <f ca="1">Calculations!N48+Calculations!O48+Calculations!P48+Calculations!Q48+Calculations!R48+Calculations!S48+Calculations!T48</f>
        <v>31892000</v>
      </c>
    </row>
    <row r="15" spans="1:5">
      <c r="B15" s="132" t="s">
        <v>88</v>
      </c>
      <c r="C15" s="133"/>
      <c r="D15" s="93">
        <f ca="1">D14+D13</f>
        <v>29148886.5</v>
      </c>
    </row>
    <row r="16" spans="1:5">
      <c r="B16" s="132" t="s">
        <v>89</v>
      </c>
      <c r="C16" s="133"/>
      <c r="D16" s="93">
        <f ca="1">IF(D15&lt;0,-(D14/-D13),D14/-D13)</f>
        <v>11.62620504036745</v>
      </c>
    </row>
    <row r="18" spans="1:5">
      <c r="A18" s="136" t="s">
        <v>91</v>
      </c>
      <c r="B18" s="136"/>
      <c r="C18" s="136"/>
      <c r="D18" s="76"/>
    </row>
    <row r="19" spans="1:5">
      <c r="B19" s="134" t="s">
        <v>92</v>
      </c>
      <c r="C19" s="135"/>
      <c r="D19" s="93">
        <f>SUM(Calculations!$B$8:INDEX(Calculations!F:F,8+$D$8-1))+SUM(Calculations!$J$8:INDEX(Calculations!L:L,8+$D$8-1))-SUM(Calculations!Y8:INDEX(Calculations!Y:Y,8+$D$8-1))-SUM(Calculations!$AA$8:INDEX(Calculations!AB:AB,8+$D$8-1))</f>
        <v>112386.5</v>
      </c>
    </row>
    <row r="20" spans="1:5">
      <c r="B20" s="134" t="s">
        <v>93</v>
      </c>
      <c r="C20" s="135"/>
      <c r="D20" s="93">
        <f>SUM(Calculations!$N$8:INDEX(Calculations!S:S,8+$D$8-1))-SUM(Calculations!$AC$8:INDEX(Calculations!AC:AC,8+$D$8-1))</f>
        <v>890000</v>
      </c>
    </row>
    <row r="21" spans="1:5">
      <c r="B21" s="132" t="s">
        <v>88</v>
      </c>
      <c r="C21" s="133"/>
      <c r="D21" s="93">
        <f>D20+D19</f>
        <v>1002386.5</v>
      </c>
    </row>
    <row r="22" spans="1:5">
      <c r="B22" s="132" t="s">
        <v>89</v>
      </c>
      <c r="C22" s="133"/>
      <c r="D22" s="93">
        <f>IF(D21&lt;0,-(D20/-D19),D20/-D19)</f>
        <v>-7.9191006037201976</v>
      </c>
    </row>
    <row r="23" spans="1:5">
      <c r="B23" s="132" t="s">
        <v>110</v>
      </c>
      <c r="C23" s="133"/>
      <c r="D23" s="113">
        <f>Calculations!AH50</f>
        <v>26.879928230681706</v>
      </c>
      <c r="E23" s="91"/>
    </row>
  </sheetData>
  <mergeCells count="17">
    <mergeCell ref="B23:C23"/>
    <mergeCell ref="B22:C22"/>
    <mergeCell ref="B14:C14"/>
    <mergeCell ref="A12:C12"/>
    <mergeCell ref="A8:B8"/>
    <mergeCell ref="B15:C15"/>
    <mergeCell ref="B13:C13"/>
    <mergeCell ref="B16:C16"/>
    <mergeCell ref="A18:C18"/>
    <mergeCell ref="B19:C19"/>
    <mergeCell ref="B20:C20"/>
    <mergeCell ref="B21:C21"/>
    <mergeCell ref="A6:B6"/>
    <mergeCell ref="A4:B4"/>
    <mergeCell ref="A1:D1"/>
    <mergeCell ref="C6:D6"/>
    <mergeCell ref="C4:D4"/>
  </mergeCells>
  <hyperlinks>
    <hyperlink ref="C4:D4" location="'Cost Worksheet'!A1" display="Calculate the costs of your program."/>
    <hyperlink ref="C6:D6" location="'Benefits Worksheet'!A1" display="Calculate the potential benefits of your program."/>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zoomScale="60" zoomScaleNormal="60" workbookViewId="0">
      <selection activeCell="D77" sqref="D77"/>
    </sheetView>
  </sheetViews>
  <sheetFormatPr defaultColWidth="8.75" defaultRowHeight="12.75"/>
  <cols>
    <col min="1" max="1" width="2.75" style="1" customWidth="1"/>
    <col min="2" max="2" width="3.625" style="1" customWidth="1"/>
    <col min="3" max="3" width="71" style="1" customWidth="1"/>
    <col min="4" max="4" width="17.125" style="6" customWidth="1"/>
    <col min="5" max="5" width="3" style="2" bestFit="1" customWidth="1"/>
    <col min="6" max="16384" width="8.75" style="1"/>
  </cols>
  <sheetData>
    <row r="1" spans="1:5" s="83" customFormat="1">
      <c r="A1" s="130" t="s">
        <v>109</v>
      </c>
      <c r="B1" s="130"/>
      <c r="C1" s="130"/>
      <c r="D1" s="130"/>
    </row>
    <row r="2" spans="1:5" s="5" customFormat="1">
      <c r="A2" s="5" t="s">
        <v>107</v>
      </c>
      <c r="D2" s="87"/>
      <c r="E2" s="88"/>
    </row>
    <row r="3" spans="1:5" s="83" customFormat="1">
      <c r="D3" s="6"/>
      <c r="E3" s="2"/>
    </row>
    <row r="4" spans="1:5" s="83" customFormat="1">
      <c r="A4" s="131" t="s">
        <v>115</v>
      </c>
      <c r="B4" s="131"/>
      <c r="C4" s="131"/>
      <c r="D4" s="131"/>
      <c r="E4" s="2"/>
    </row>
    <row r="6" spans="1:5" s="74" customFormat="1">
      <c r="A6" s="77" t="s">
        <v>30</v>
      </c>
      <c r="B6" s="130" t="s">
        <v>49</v>
      </c>
      <c r="C6" s="130"/>
      <c r="D6" s="130"/>
      <c r="E6" s="2"/>
    </row>
    <row r="7" spans="1:5" s="125" customFormat="1" ht="56.25" customHeight="1">
      <c r="A7" s="66"/>
      <c r="B7" s="137" t="s">
        <v>138</v>
      </c>
      <c r="C7" s="137"/>
      <c r="D7" s="67"/>
      <c r="E7" s="2"/>
    </row>
    <row r="8" spans="1:5">
      <c r="B8" s="1" t="s">
        <v>32</v>
      </c>
      <c r="C8" s="4" t="s">
        <v>62</v>
      </c>
      <c r="D8" s="118">
        <v>1</v>
      </c>
      <c r="E8" s="2" t="str">
        <f xml:space="preserve"> IF($D$8&lt;1,"Number must be between 1 and 4", IF($D$8&gt;4,"Number must be between 1 and 4", IF($D$8&lt;&gt;INT($D$8), "Number must be an integer", "")))</f>
        <v/>
      </c>
    </row>
    <row r="9" spans="1:5">
      <c r="C9" s="4"/>
      <c r="D9" s="7"/>
    </row>
    <row r="10" spans="1:5">
      <c r="B10" s="1" t="s">
        <v>33</v>
      </c>
      <c r="C10" s="4" t="s">
        <v>98</v>
      </c>
      <c r="D10" s="118">
        <v>10</v>
      </c>
    </row>
    <row r="11" spans="1:5" s="112" customFormat="1">
      <c r="C11" s="4"/>
      <c r="D11" s="117"/>
      <c r="E11" s="2"/>
    </row>
    <row r="12" spans="1:5" s="74" customFormat="1">
      <c r="A12" s="77" t="s">
        <v>42</v>
      </c>
      <c r="B12" s="77" t="s">
        <v>60</v>
      </c>
      <c r="C12" s="75"/>
      <c r="D12" s="79"/>
      <c r="E12" s="2"/>
    </row>
    <row r="13" spans="1:5" s="74" customFormat="1" ht="16.5" customHeight="1">
      <c r="A13" s="76"/>
      <c r="B13" s="80" t="s">
        <v>55</v>
      </c>
      <c r="C13" s="76"/>
      <c r="D13" s="78"/>
      <c r="E13" s="2"/>
    </row>
    <row r="14" spans="1:5" s="74" customFormat="1" ht="12" customHeight="1">
      <c r="A14" s="76"/>
      <c r="B14" s="80" t="s">
        <v>56</v>
      </c>
      <c r="C14" s="76"/>
      <c r="D14" s="78"/>
      <c r="E14" s="2"/>
    </row>
    <row r="15" spans="1:5" s="74" customFormat="1" ht="12.75" customHeight="1">
      <c r="A15" s="76"/>
      <c r="B15" s="80" t="s">
        <v>57</v>
      </c>
      <c r="C15" s="76"/>
      <c r="D15" s="78"/>
      <c r="E15" s="2"/>
    </row>
    <row r="16" spans="1:5">
      <c r="B16" s="5"/>
    </row>
    <row r="17" spans="1:5">
      <c r="B17" s="1" t="s">
        <v>70</v>
      </c>
      <c r="C17" s="1" t="s">
        <v>54</v>
      </c>
      <c r="D17" s="121">
        <v>5000</v>
      </c>
    </row>
    <row r="18" spans="1:5" s="94" customFormat="1">
      <c r="D18" s="106"/>
      <c r="E18" s="2"/>
    </row>
    <row r="19" spans="1:5" s="74" customFormat="1">
      <c r="A19" s="77" t="s">
        <v>50</v>
      </c>
      <c r="B19" s="130" t="s">
        <v>31</v>
      </c>
      <c r="C19" s="130"/>
      <c r="D19" s="130"/>
      <c r="E19" s="2"/>
    </row>
    <row r="20" spans="1:5">
      <c r="A20" s="3"/>
      <c r="B20" s="3"/>
      <c r="C20" s="91"/>
    </row>
    <row r="21" spans="1:5">
      <c r="B21" s="1" t="s">
        <v>51</v>
      </c>
      <c r="C21" s="4" t="s">
        <v>34</v>
      </c>
      <c r="D21" s="121">
        <v>500</v>
      </c>
    </row>
    <row r="22" spans="1:5">
      <c r="C22" s="4"/>
      <c r="D22" s="61"/>
    </row>
    <row r="23" spans="1:5">
      <c r="B23" s="1" t="s">
        <v>52</v>
      </c>
      <c r="C23" s="4" t="s">
        <v>114</v>
      </c>
      <c r="D23" s="121">
        <v>1000</v>
      </c>
    </row>
    <row r="24" spans="1:5">
      <c r="D24" s="8"/>
    </row>
    <row r="25" spans="1:5" s="74" customFormat="1" ht="56.25" customHeight="1">
      <c r="A25" s="66"/>
      <c r="B25" s="137" t="s">
        <v>123</v>
      </c>
      <c r="C25" s="137"/>
      <c r="D25" s="67"/>
      <c r="E25" s="2"/>
    </row>
    <row r="26" spans="1:5">
      <c r="D26" s="8"/>
    </row>
    <row r="27" spans="1:5">
      <c r="B27" s="1" t="s">
        <v>53</v>
      </c>
      <c r="C27" s="94" t="s">
        <v>11</v>
      </c>
      <c r="D27" s="109"/>
    </row>
    <row r="28" spans="1:5" s="94" customFormat="1">
      <c r="C28" s="4" t="s">
        <v>36</v>
      </c>
      <c r="D28" s="121">
        <v>300</v>
      </c>
      <c r="E28" s="2"/>
    </row>
    <row r="29" spans="1:5" s="94" customFormat="1">
      <c r="C29" s="4" t="s">
        <v>37</v>
      </c>
      <c r="D29" s="121">
        <v>0</v>
      </c>
      <c r="E29" s="2" t="str">
        <f>IF(2&gt;$D$8, "Does not apply for your program", " ")</f>
        <v>Does not apply for your program</v>
      </c>
    </row>
    <row r="30" spans="1:5" s="94" customFormat="1">
      <c r="C30" s="4" t="s">
        <v>38</v>
      </c>
      <c r="D30" s="121">
        <v>0</v>
      </c>
      <c r="E30" s="2" t="str">
        <f>IF(3&gt;$D$8, "Does not apply for your program", " ")</f>
        <v>Does not apply for your program</v>
      </c>
    </row>
    <row r="31" spans="1:5" s="94" customFormat="1">
      <c r="C31" s="4" t="s">
        <v>39</v>
      </c>
      <c r="D31" s="121"/>
      <c r="E31" s="2" t="str">
        <f>IF(4&gt;$D$8, "Does not apply for your program", " ")</f>
        <v>Does not apply for your program</v>
      </c>
    </row>
    <row r="32" spans="1:5">
      <c r="C32" s="4"/>
      <c r="D32" s="8"/>
    </row>
    <row r="33" spans="2:5">
      <c r="B33" s="1" t="s">
        <v>116</v>
      </c>
      <c r="C33" s="94" t="s">
        <v>7</v>
      </c>
      <c r="D33" s="109"/>
    </row>
    <row r="34" spans="2:5" s="94" customFormat="1">
      <c r="C34" s="4" t="s">
        <v>36</v>
      </c>
      <c r="D34" s="121">
        <v>2500</v>
      </c>
      <c r="E34" s="2"/>
    </row>
    <row r="35" spans="2:5" s="94" customFormat="1">
      <c r="C35" s="4" t="s">
        <v>37</v>
      </c>
      <c r="D35" s="121">
        <v>2500</v>
      </c>
      <c r="E35" s="2" t="str">
        <f>IF(2&gt;$D$8, "Does not apply for your program", " ")</f>
        <v>Does not apply for your program</v>
      </c>
    </row>
    <row r="36" spans="2:5" s="94" customFormat="1">
      <c r="C36" s="4" t="s">
        <v>38</v>
      </c>
      <c r="D36" s="121">
        <v>1500</v>
      </c>
      <c r="E36" s="2" t="str">
        <f>IF(3&gt;$D$8, "Does not apply for your program", " ")</f>
        <v>Does not apply for your program</v>
      </c>
    </row>
    <row r="37" spans="2:5" s="94" customFormat="1">
      <c r="C37" s="4" t="s">
        <v>39</v>
      </c>
      <c r="D37" s="121"/>
      <c r="E37" s="2" t="str">
        <f>IF(4&gt;$D$8, "Does not apply for your program", " ")</f>
        <v>Does not apply for your program</v>
      </c>
    </row>
    <row r="38" spans="2:5">
      <c r="C38" s="4"/>
      <c r="D38" s="8"/>
    </row>
    <row r="39" spans="2:5">
      <c r="B39" s="1" t="s">
        <v>117</v>
      </c>
      <c r="C39" s="94" t="s">
        <v>35</v>
      </c>
      <c r="D39" s="109"/>
    </row>
    <row r="40" spans="2:5" s="94" customFormat="1">
      <c r="C40" s="4" t="s">
        <v>36</v>
      </c>
      <c r="D40" s="121">
        <f>15000/10</f>
        <v>1500</v>
      </c>
      <c r="E40" s="2"/>
    </row>
    <row r="41" spans="2:5" s="94" customFormat="1">
      <c r="C41" s="4" t="s">
        <v>37</v>
      </c>
      <c r="D41" s="121">
        <f>15000/10</f>
        <v>1500</v>
      </c>
      <c r="E41" s="2" t="str">
        <f>IF(2&gt;$D$8, "Does not apply for your program", " ")</f>
        <v>Does not apply for your program</v>
      </c>
    </row>
    <row r="42" spans="2:5" s="94" customFormat="1">
      <c r="C42" s="4" t="s">
        <v>38</v>
      </c>
      <c r="D42" s="121">
        <f>10000/10</f>
        <v>1000</v>
      </c>
      <c r="E42" s="2" t="str">
        <f>IF(3&gt;$D$8, "Does not apply for your program", " ")</f>
        <v>Does not apply for your program</v>
      </c>
    </row>
    <row r="43" spans="2:5" s="94" customFormat="1">
      <c r="C43" s="4" t="s">
        <v>39</v>
      </c>
      <c r="D43" s="121"/>
      <c r="E43" s="2" t="str">
        <f>IF(4&gt;$D$8, "Does not apply for your program", " ")</f>
        <v>Does not apply for your program</v>
      </c>
    </row>
    <row r="44" spans="2:5">
      <c r="C44" s="4"/>
      <c r="D44" s="8"/>
    </row>
    <row r="45" spans="2:5">
      <c r="B45" s="1" t="s">
        <v>118</v>
      </c>
      <c r="C45" s="94" t="s">
        <v>100</v>
      </c>
      <c r="D45" s="109"/>
    </row>
    <row r="46" spans="2:5" s="94" customFormat="1">
      <c r="C46" s="4" t="s">
        <v>36</v>
      </c>
      <c r="D46" s="121">
        <v>12</v>
      </c>
      <c r="E46" s="2"/>
    </row>
    <row r="47" spans="2:5" s="94" customFormat="1">
      <c r="C47" s="4" t="s">
        <v>37</v>
      </c>
      <c r="D47" s="121">
        <v>13.5</v>
      </c>
      <c r="E47" s="2" t="str">
        <f>IF(2&gt;$D$8, "Does not apply for your program", " ")</f>
        <v>Does not apply for your program</v>
      </c>
    </row>
    <row r="48" spans="2:5" s="94" customFormat="1">
      <c r="C48" s="4" t="s">
        <v>38</v>
      </c>
      <c r="D48" s="121"/>
      <c r="E48" s="2" t="str">
        <f>IF(3&gt;$D$8, "Does not apply for your program", " ")</f>
        <v>Does not apply for your program</v>
      </c>
    </row>
    <row r="49" spans="1:5" s="94" customFormat="1">
      <c r="C49" s="4" t="s">
        <v>39</v>
      </c>
      <c r="D49" s="121"/>
      <c r="E49" s="2" t="str">
        <f>IF(4&gt;$D$8, "Does not apply for your program", " ")</f>
        <v>Does not apply for your program</v>
      </c>
    </row>
    <row r="50" spans="1:5" s="94" customFormat="1">
      <c r="C50" s="4"/>
      <c r="D50" s="110"/>
      <c r="E50" s="2"/>
    </row>
    <row r="51" spans="1:5">
      <c r="B51" s="1" t="s">
        <v>119</v>
      </c>
      <c r="C51" s="94" t="s">
        <v>102</v>
      </c>
      <c r="D51" s="61"/>
    </row>
    <row r="52" spans="1:5" s="82" customFormat="1">
      <c r="C52" s="5" t="s">
        <v>101</v>
      </c>
      <c r="D52" s="61"/>
      <c r="E52" s="2"/>
    </row>
    <row r="53" spans="1:5" s="94" customFormat="1">
      <c r="C53" s="4" t="s">
        <v>36</v>
      </c>
      <c r="D53" s="121">
        <v>1000</v>
      </c>
      <c r="E53" s="2"/>
    </row>
    <row r="54" spans="1:5" s="94" customFormat="1">
      <c r="C54" s="4" t="s">
        <v>37</v>
      </c>
      <c r="D54" s="121">
        <v>0</v>
      </c>
      <c r="E54" s="2" t="str">
        <f>IF(2&gt;$D$8, "Does not apply for your program", " ")</f>
        <v>Does not apply for your program</v>
      </c>
    </row>
    <row r="55" spans="1:5" s="94" customFormat="1">
      <c r="C55" s="4" t="s">
        <v>38</v>
      </c>
      <c r="D55" s="121">
        <v>500</v>
      </c>
      <c r="E55" s="2" t="str">
        <f>IF(3&gt;$D$8, "Does not apply for your program", " ")</f>
        <v>Does not apply for your program</v>
      </c>
    </row>
    <row r="56" spans="1:5" s="94" customFormat="1">
      <c r="C56" s="4" t="s">
        <v>39</v>
      </c>
      <c r="D56" s="121"/>
      <c r="E56" s="2" t="str">
        <f>IF(4&gt;$D$8, "Does not apply for your program", " ")</f>
        <v>Does not apply for your program</v>
      </c>
    </row>
    <row r="57" spans="1:5">
      <c r="D57" s="8"/>
    </row>
    <row r="58" spans="1:5" s="74" customFormat="1">
      <c r="A58" s="77" t="s">
        <v>59</v>
      </c>
      <c r="B58" s="77" t="s">
        <v>58</v>
      </c>
      <c r="C58" s="75"/>
      <c r="D58" s="79"/>
      <c r="E58" s="2"/>
    </row>
    <row r="59" spans="1:5" s="74" customFormat="1" ht="18" customHeight="1">
      <c r="A59" s="102"/>
      <c r="B59" s="103" t="s">
        <v>40</v>
      </c>
      <c r="C59" s="102"/>
      <c r="D59" s="104"/>
      <c r="E59" s="2"/>
    </row>
    <row r="60" spans="1:5">
      <c r="D60" s="8"/>
    </row>
    <row r="61" spans="1:5">
      <c r="B61" s="1" t="s">
        <v>120</v>
      </c>
      <c r="C61" s="1" t="s">
        <v>2</v>
      </c>
      <c r="D61" s="8"/>
    </row>
    <row r="62" spans="1:5">
      <c r="C62" s="4" t="s">
        <v>36</v>
      </c>
      <c r="D62" s="121">
        <v>10</v>
      </c>
    </row>
    <row r="63" spans="1:5">
      <c r="C63" s="4" t="s">
        <v>37</v>
      </c>
      <c r="D63" s="121">
        <v>13.5</v>
      </c>
      <c r="E63" s="2" t="str">
        <f>IF(2&gt;$D$8, "Does not apply for your program", " ")</f>
        <v>Does not apply for your program</v>
      </c>
    </row>
    <row r="64" spans="1:5">
      <c r="C64" s="4" t="s">
        <v>38</v>
      </c>
      <c r="D64" s="121">
        <v>15</v>
      </c>
      <c r="E64" s="2" t="str">
        <f>IF(3&gt;$D$8, "Does not apply for your program", " ")</f>
        <v>Does not apply for your program</v>
      </c>
    </row>
    <row r="65" spans="2:6">
      <c r="C65" s="4" t="s">
        <v>39</v>
      </c>
      <c r="D65" s="121"/>
      <c r="E65" s="2" t="str">
        <f>IF(4&gt;$D$8, "Does not apply for your program", " ")</f>
        <v>Does not apply for your program</v>
      </c>
    </row>
    <row r="66" spans="2:6">
      <c r="C66" s="124" t="s">
        <v>137</v>
      </c>
      <c r="D66" s="121">
        <v>17.5</v>
      </c>
      <c r="F66" s="91"/>
    </row>
    <row r="67" spans="2:6" s="126" customFormat="1">
      <c r="D67" s="8"/>
      <c r="E67" s="2"/>
    </row>
    <row r="68" spans="2:6" s="126" customFormat="1">
      <c r="B68" s="126" t="s">
        <v>121</v>
      </c>
      <c r="C68" s="126" t="s">
        <v>141</v>
      </c>
      <c r="D68" s="63"/>
      <c r="E68" s="2"/>
    </row>
    <row r="69" spans="2:6" s="126" customFormat="1">
      <c r="C69" s="4" t="s">
        <v>36</v>
      </c>
      <c r="D69" s="122">
        <v>1200</v>
      </c>
      <c r="E69" s="2"/>
    </row>
    <row r="70" spans="2:6" s="126" customFormat="1">
      <c r="C70" s="4" t="s">
        <v>37</v>
      </c>
      <c r="D70" s="121">
        <v>1500</v>
      </c>
      <c r="E70" s="2" t="str">
        <f>IF(2&gt;$D$8, "Does not apply for your program", " ")</f>
        <v>Does not apply for your program</v>
      </c>
    </row>
    <row r="71" spans="2:6" s="126" customFormat="1">
      <c r="C71" s="4" t="s">
        <v>38</v>
      </c>
      <c r="D71" s="121">
        <v>1750</v>
      </c>
      <c r="E71" s="2" t="str">
        <f>IF(3&gt;$D$8, "Does not apply for your program", " ")</f>
        <v>Does not apply for your program</v>
      </c>
    </row>
    <row r="72" spans="2:6" s="126" customFormat="1">
      <c r="C72" s="4" t="s">
        <v>39</v>
      </c>
      <c r="D72" s="121">
        <v>2000</v>
      </c>
      <c r="E72" s="2" t="str">
        <f>IF(4&gt;$D$8, "Does not apply for your program", " ")</f>
        <v>Does not apply for your program</v>
      </c>
    </row>
    <row r="73" spans="2:6" s="126" customFormat="1">
      <c r="C73" s="124" t="s">
        <v>139</v>
      </c>
      <c r="D73" s="122">
        <v>2000</v>
      </c>
      <c r="E73" s="2"/>
      <c r="F73" s="91"/>
    </row>
    <row r="74" spans="2:6">
      <c r="D74" s="8"/>
    </row>
    <row r="75" spans="2:6">
      <c r="B75" s="1" t="s">
        <v>122</v>
      </c>
      <c r="C75" s="126" t="s">
        <v>96</v>
      </c>
      <c r="D75" s="63"/>
    </row>
    <row r="76" spans="2:6">
      <c r="C76" s="4" t="s">
        <v>36</v>
      </c>
      <c r="D76" s="122">
        <v>2000</v>
      </c>
    </row>
    <row r="77" spans="2:6">
      <c r="C77" s="4" t="s">
        <v>37</v>
      </c>
      <c r="D77" s="122">
        <v>1500</v>
      </c>
      <c r="E77" s="2" t="str">
        <f>IF(2&gt;$D$8, "Does not apply for your program", " ")</f>
        <v>Does not apply for your program</v>
      </c>
    </row>
    <row r="78" spans="2:6">
      <c r="C78" s="4" t="s">
        <v>38</v>
      </c>
      <c r="D78" s="122">
        <v>1750</v>
      </c>
      <c r="E78" s="2" t="str">
        <f>IF(3&gt;$D$8, "Does not apply for your program", " ")</f>
        <v>Does not apply for your program</v>
      </c>
    </row>
    <row r="79" spans="2:6">
      <c r="C79" s="4" t="s">
        <v>39</v>
      </c>
      <c r="D79" s="122">
        <v>2000</v>
      </c>
      <c r="E79" s="2" t="str">
        <f>IF(4&gt;$D$8, "Does not apply for your program", " ")</f>
        <v>Does not apply for your program</v>
      </c>
    </row>
    <row r="80" spans="2:6">
      <c r="C80" s="124" t="s">
        <v>139</v>
      </c>
      <c r="D80" s="122">
        <v>2000</v>
      </c>
      <c r="F80" s="91"/>
    </row>
    <row r="81" spans="1:5">
      <c r="D81" s="8"/>
    </row>
    <row r="82" spans="1:5">
      <c r="B82" s="1" t="s">
        <v>61</v>
      </c>
      <c r="C82" s="1" t="s">
        <v>41</v>
      </c>
      <c r="D82" s="123">
        <v>0.35</v>
      </c>
    </row>
    <row r="83" spans="1:5" s="94" customFormat="1">
      <c r="D83" s="105"/>
      <c r="E83" s="2"/>
    </row>
    <row r="84" spans="1:5">
      <c r="B84" s="1" t="s">
        <v>140</v>
      </c>
      <c r="C84" s="94" t="s">
        <v>99</v>
      </c>
      <c r="D84" s="118">
        <v>1</v>
      </c>
    </row>
    <row r="85" spans="1:5" s="94" customFormat="1">
      <c r="D85" s="105"/>
      <c r="E85" s="2"/>
    </row>
    <row r="87" spans="1:5" s="83" customFormat="1">
      <c r="A87" s="131" t="s">
        <v>115</v>
      </c>
      <c r="B87" s="131"/>
      <c r="C87" s="131"/>
      <c r="D87" s="131"/>
      <c r="E87" s="2"/>
    </row>
  </sheetData>
  <mergeCells count="7">
    <mergeCell ref="A87:D87"/>
    <mergeCell ref="B6:D6"/>
    <mergeCell ref="B19:D19"/>
    <mergeCell ref="B25:C25"/>
    <mergeCell ref="A1:D1"/>
    <mergeCell ref="A4:D4"/>
    <mergeCell ref="B7:C7"/>
  </mergeCells>
  <conditionalFormatting sqref="D76:D79">
    <cfRule type="expression" dxfId="20" priority="28">
      <formula>(ROW(D76)-ROW($D$75))&gt;$D$8</formula>
    </cfRule>
  </conditionalFormatting>
  <conditionalFormatting sqref="D28:D31">
    <cfRule type="expression" dxfId="19" priority="26">
      <formula>(ROW(D28)-ROW($D$27))&gt;$D$8</formula>
    </cfRule>
  </conditionalFormatting>
  <conditionalFormatting sqref="D34:D37">
    <cfRule type="expression" dxfId="18" priority="23">
      <formula>(ROW(D34)-ROW($D$61))&gt;$D$8</formula>
    </cfRule>
    <cfRule type="expression" dxfId="17" priority="25">
      <formula>(ROW(D34)-ROW($D$33))&gt;$D$8</formula>
    </cfRule>
  </conditionalFormatting>
  <conditionalFormatting sqref="D40:D43">
    <cfRule type="expression" dxfId="16" priority="21">
      <formula>(ROW(D40)-ROW($D$61))&gt;$D$8</formula>
    </cfRule>
    <cfRule type="expression" dxfId="15" priority="24">
      <formula>(ROW(D40)-ROW($D$39))&gt;$D$8</formula>
    </cfRule>
  </conditionalFormatting>
  <conditionalFormatting sqref="D46:D49">
    <cfRule type="expression" dxfId="14" priority="20">
      <formula>(ROW(D46)-ROW($D$45))&gt;$D$8</formula>
    </cfRule>
  </conditionalFormatting>
  <conditionalFormatting sqref="D62:D65">
    <cfRule type="expression" dxfId="13" priority="18">
      <formula>(ROW(D62)-ROW($D$61))&gt;$D$8</formula>
    </cfRule>
  </conditionalFormatting>
  <conditionalFormatting sqref="D53:D56">
    <cfRule type="expression" dxfId="12" priority="12">
      <formula>(ROW(D53)-ROW($D$52))&gt;$D$8</formula>
    </cfRule>
  </conditionalFormatting>
  <conditionalFormatting sqref="D69">
    <cfRule type="expression" dxfId="11" priority="6">
      <formula>(ROW(D69)-ROW($D$75))&gt;$D$8</formula>
    </cfRule>
  </conditionalFormatting>
  <conditionalFormatting sqref="D70">
    <cfRule type="expression" dxfId="10" priority="3">
      <formula>(ROW(D70)-ROW($D$61))&gt;$D$8</formula>
    </cfRule>
  </conditionalFormatting>
  <conditionalFormatting sqref="D71">
    <cfRule type="expression" dxfId="9" priority="2">
      <formula>(ROW(D71)-ROW($D$61))&gt;$D$8</formula>
    </cfRule>
  </conditionalFormatting>
  <conditionalFormatting sqref="D72">
    <cfRule type="expression" dxfId="8" priority="1">
      <formula>(ROW(D72)-ROW($D$61))&gt;$D$8</formula>
    </cfRule>
  </conditionalFormatting>
  <hyperlinks>
    <hyperlink ref="A4" location="'Instructions and Results'!A1" display="Return to Instructions and Results"/>
    <hyperlink ref="A87" location="'Instructions and Results'!A1" display="Return to Instructions and Results"/>
    <hyperlink ref="A4:D4" location="'ROI Calculator'!A1" display="Return to ROI Calculator"/>
    <hyperlink ref="A87:D87" location="'ROI Calculator'!A1" display="Return to ROI Calculator"/>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D9" sqref="D9"/>
    </sheetView>
  </sheetViews>
  <sheetFormatPr defaultColWidth="8.75" defaultRowHeight="12.75"/>
  <cols>
    <col min="1" max="1" width="3" style="1" customWidth="1"/>
    <col min="2" max="2" width="3.875" style="1" customWidth="1"/>
    <col min="3" max="3" width="71" style="1" customWidth="1"/>
    <col min="4" max="4" width="17.125" style="1" customWidth="1"/>
    <col min="5" max="5" width="22" style="1" bestFit="1" customWidth="1"/>
    <col min="6" max="16384" width="8.75" style="1"/>
  </cols>
  <sheetData>
    <row r="1" spans="1:5" s="83" customFormat="1" ht="16.5" customHeight="1">
      <c r="A1" s="138" t="s">
        <v>108</v>
      </c>
      <c r="B1" s="138"/>
      <c r="C1" s="138"/>
      <c r="D1" s="138"/>
    </row>
    <row r="2" spans="1:5" s="5" customFormat="1">
      <c r="A2" s="5" t="s">
        <v>107</v>
      </c>
      <c r="D2" s="87"/>
      <c r="E2" s="88"/>
    </row>
    <row r="3" spans="1:5" s="83" customFormat="1">
      <c r="D3" s="6"/>
      <c r="E3" s="2"/>
    </row>
    <row r="4" spans="1:5" s="83" customFormat="1">
      <c r="A4" s="131" t="s">
        <v>115</v>
      </c>
      <c r="B4" s="131"/>
      <c r="C4" s="131"/>
      <c r="D4" s="131"/>
      <c r="E4" s="2"/>
    </row>
    <row r="6" spans="1:5" s="74" customFormat="1" ht="15.75" customHeight="1">
      <c r="A6" s="100" t="s">
        <v>30</v>
      </c>
      <c r="B6" s="138" t="s">
        <v>73</v>
      </c>
      <c r="C6" s="138"/>
      <c r="D6" s="138"/>
      <c r="E6" s="2"/>
    </row>
    <row r="7" spans="1:5" s="74" customFormat="1" ht="29.25" customHeight="1">
      <c r="A7" s="76"/>
      <c r="B7" s="140" t="s">
        <v>67</v>
      </c>
      <c r="C7" s="140"/>
      <c r="D7" s="76"/>
    </row>
    <row r="9" spans="1:5">
      <c r="B9" s="1" t="s">
        <v>32</v>
      </c>
      <c r="C9" s="4" t="s">
        <v>63</v>
      </c>
      <c r="D9" s="121">
        <v>250000</v>
      </c>
    </row>
    <row r="11" spans="1:5" s="74" customFormat="1" ht="60" customHeight="1">
      <c r="A11" s="76"/>
      <c r="B11" s="140" t="s">
        <v>74</v>
      </c>
      <c r="C11" s="140"/>
      <c r="D11" s="76"/>
    </row>
    <row r="13" spans="1:5">
      <c r="B13" s="1" t="s">
        <v>33</v>
      </c>
      <c r="C13" s="1" t="s">
        <v>68</v>
      </c>
      <c r="D13" s="8"/>
    </row>
    <row r="14" spans="1:5">
      <c r="C14" s="4" t="s">
        <v>36</v>
      </c>
      <c r="D14" s="120">
        <v>0.5</v>
      </c>
      <c r="E14" s="91"/>
    </row>
    <row r="15" spans="1:5">
      <c r="C15" s="4" t="s">
        <v>37</v>
      </c>
      <c r="D15" s="120">
        <v>0.25</v>
      </c>
      <c r="E15" s="2" t="str">
        <f>IF(2&gt;'Cost Worksheet'!$D$8, "Does not apply for your program", " ")</f>
        <v>Does not apply for your program</v>
      </c>
    </row>
    <row r="16" spans="1:5">
      <c r="C16" s="4" t="s">
        <v>38</v>
      </c>
      <c r="D16" s="120">
        <v>0.5</v>
      </c>
      <c r="E16" s="2" t="str">
        <f>IF(3&gt;'Cost Worksheet'!$D$8, "Does not apply for your program", " ")</f>
        <v>Does not apply for your program</v>
      </c>
    </row>
    <row r="17" spans="1:6">
      <c r="C17" s="4" t="s">
        <v>39</v>
      </c>
      <c r="D17" s="120">
        <v>0.9</v>
      </c>
      <c r="E17" s="2" t="str">
        <f>IF(4&gt;'Cost Worksheet'!$D$8, "Does not apply for your program", " ")</f>
        <v>Does not apply for your program</v>
      </c>
    </row>
    <row r="19" spans="1:6" s="74" customFormat="1" ht="19.5" customHeight="1">
      <c r="A19" s="100" t="s">
        <v>42</v>
      </c>
      <c r="B19" s="138" t="s">
        <v>71</v>
      </c>
      <c r="C19" s="138"/>
      <c r="D19" s="138"/>
    </row>
    <row r="20" spans="1:6" s="74" customFormat="1" ht="71.25" customHeight="1">
      <c r="A20" s="76"/>
      <c r="B20" s="141" t="s">
        <v>135</v>
      </c>
      <c r="C20" s="141"/>
      <c r="D20" s="76"/>
      <c r="E20" s="91"/>
    </row>
    <row r="21" spans="1:6" s="74" customFormat="1"/>
    <row r="22" spans="1:6" s="74" customFormat="1">
      <c r="B22" s="74" t="s">
        <v>70</v>
      </c>
      <c r="C22" s="4" t="s">
        <v>124</v>
      </c>
      <c r="D22" s="121">
        <v>2400</v>
      </c>
      <c r="E22" s="68"/>
      <c r="F22" s="91"/>
    </row>
    <row r="23" spans="1:6" s="74" customFormat="1">
      <c r="C23" s="4"/>
      <c r="D23" s="65"/>
    </row>
    <row r="24" spans="1:6" s="74" customFormat="1">
      <c r="B24" s="74" t="s">
        <v>46</v>
      </c>
      <c r="C24" s="4" t="s">
        <v>125</v>
      </c>
      <c r="D24" s="121">
        <v>2000</v>
      </c>
      <c r="E24" s="69"/>
      <c r="F24" s="91"/>
    </row>
    <row r="25" spans="1:6" s="74" customFormat="1">
      <c r="C25" s="4"/>
      <c r="D25" s="65"/>
    </row>
    <row r="26" spans="1:6" s="74" customFormat="1">
      <c r="B26" s="74" t="s">
        <v>47</v>
      </c>
      <c r="C26" s="4" t="s">
        <v>126</v>
      </c>
      <c r="D26" s="121"/>
    </row>
    <row r="27" spans="1:6" s="74" customFormat="1">
      <c r="C27" s="4"/>
      <c r="D27" s="65"/>
    </row>
    <row r="28" spans="1:6" s="74" customFormat="1">
      <c r="B28" s="74" t="s">
        <v>48</v>
      </c>
      <c r="C28" s="4" t="s">
        <v>127</v>
      </c>
      <c r="D28" s="121"/>
    </row>
    <row r="29" spans="1:6" s="74" customFormat="1"/>
    <row r="30" spans="1:6" s="74" customFormat="1">
      <c r="A30" s="77" t="s">
        <v>50</v>
      </c>
      <c r="B30" s="130" t="s">
        <v>69</v>
      </c>
      <c r="C30" s="130"/>
      <c r="D30" s="130"/>
    </row>
    <row r="31" spans="1:6" s="74" customFormat="1" ht="15.75" customHeight="1">
      <c r="A31" s="75"/>
      <c r="B31" s="139" t="s">
        <v>72</v>
      </c>
      <c r="C31" s="139"/>
      <c r="D31" s="75"/>
    </row>
    <row r="33" spans="1:5">
      <c r="B33" s="1" t="s">
        <v>51</v>
      </c>
      <c r="C33" s="4" t="s">
        <v>129</v>
      </c>
      <c r="D33" s="121"/>
    </row>
    <row r="35" spans="1:5">
      <c r="B35" s="1" t="s">
        <v>52</v>
      </c>
      <c r="C35" s="4" t="s">
        <v>128</v>
      </c>
      <c r="D35" s="121"/>
    </row>
    <row r="37" spans="1:5" s="83" customFormat="1">
      <c r="A37" s="131" t="s">
        <v>115</v>
      </c>
      <c r="B37" s="131"/>
      <c r="C37" s="131"/>
      <c r="D37" s="131"/>
      <c r="E37" s="2"/>
    </row>
  </sheetData>
  <mergeCells count="10">
    <mergeCell ref="A1:D1"/>
    <mergeCell ref="A4:D4"/>
    <mergeCell ref="A37:D37"/>
    <mergeCell ref="B31:C31"/>
    <mergeCell ref="B6:D6"/>
    <mergeCell ref="B7:C7"/>
    <mergeCell ref="B11:C11"/>
    <mergeCell ref="B19:D19"/>
    <mergeCell ref="B20:C20"/>
    <mergeCell ref="B30:D30"/>
  </mergeCells>
  <hyperlinks>
    <hyperlink ref="A4" location="'Instructions and Results'!A1" display="Return to Instructions and Results"/>
    <hyperlink ref="A37" location="'Instructions and Results'!A1" display="Return to Instructions and Results"/>
    <hyperlink ref="A4:D4" location="'ROI Calculator'!A1" display="Return to ROI Calculator"/>
    <hyperlink ref="A37:D37" location="'ROI Calculator'!A1" display="Return to ROI Calculator"/>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 id="{6957A1A2-9B47-40A3-BC81-B3E9F17D4975}">
            <xm:f>(ROW($D14)-ROW($D$13))&gt;'Cost Worksheet'!$D$8</xm:f>
            <x14:dxf>
              <font>
                <color theme="0" tint="-0.14996795556505021"/>
              </font>
              <fill>
                <patternFill>
                  <bgColor theme="0" tint="-0.14996795556505021"/>
                </patternFill>
              </fill>
            </x14:dxf>
          </x14:cfRule>
          <xm:sqref>D14:D17</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workbookViewId="0">
      <selection activeCell="N14" sqref="N14:N47"/>
    </sheetView>
  </sheetViews>
  <sheetFormatPr defaultColWidth="11" defaultRowHeight="12.75"/>
  <cols>
    <col min="1" max="1" width="5.75" style="6" bestFit="1" customWidth="1"/>
    <col min="2" max="2" width="12.25" style="18" bestFit="1" customWidth="1"/>
    <col min="3" max="3" width="8.125" style="18" bestFit="1" customWidth="1"/>
    <col min="4" max="4" width="9.375" style="18" customWidth="1"/>
    <col min="5" max="7" width="9.75" style="18" customWidth="1"/>
    <col min="8" max="8" width="8.375" style="17" bestFit="1" customWidth="1"/>
    <col min="9" max="9" width="7.875" style="17" bestFit="1" customWidth="1"/>
    <col min="10" max="10" width="13.375" style="18" customWidth="1"/>
    <col min="11" max="11" width="13.25" style="18" customWidth="1"/>
    <col min="12" max="12" width="12.625" style="18" customWidth="1"/>
    <col min="13" max="13" width="10.25" style="17" bestFit="1" customWidth="1"/>
    <col min="14" max="14" width="14.5" style="18" bestFit="1" customWidth="1"/>
    <col min="15" max="15" width="11.375" style="18" bestFit="1" customWidth="1"/>
    <col min="16" max="20" width="11.75" style="18" customWidth="1"/>
    <col min="21" max="21" width="15.25" style="18" bestFit="1" customWidth="1"/>
    <col min="22" max="22" width="1.625" style="18" customWidth="1"/>
    <col min="23" max="23" width="1.75" style="1" customWidth="1"/>
    <col min="24" max="24" width="1.625" style="18" customWidth="1"/>
    <col min="25" max="25" width="12.75" style="18" customWidth="1"/>
    <col min="26" max="26" width="8.375" style="17" bestFit="1" customWidth="1"/>
    <col min="27" max="27" width="12.25" style="18" bestFit="1" customWidth="1"/>
    <col min="28" max="28" width="11.375" style="18" bestFit="1" customWidth="1"/>
    <col min="29" max="29" width="12.375" style="18" bestFit="1" customWidth="1"/>
    <col min="30" max="30" width="12.25" style="18" bestFit="1" customWidth="1"/>
    <col min="31" max="31" width="1.625" style="18" customWidth="1"/>
    <col min="32" max="32" width="1.75" style="1" customWidth="1"/>
    <col min="33" max="33" width="1.625" style="18" customWidth="1"/>
    <col min="34" max="34" width="27.75" style="18" bestFit="1" customWidth="1"/>
    <col min="35" max="16384" width="11" style="1"/>
  </cols>
  <sheetData>
    <row r="1" spans="1:34" s="10" customFormat="1" ht="22.5">
      <c r="A1" s="146" t="s">
        <v>23</v>
      </c>
      <c r="B1" s="146"/>
      <c r="C1" s="146"/>
      <c r="D1" s="146"/>
      <c r="E1" s="146"/>
      <c r="F1" s="146"/>
      <c r="G1" s="146"/>
      <c r="H1" s="146"/>
      <c r="I1" s="146"/>
      <c r="J1" s="146"/>
      <c r="K1" s="146"/>
      <c r="L1" s="146"/>
      <c r="M1" s="146"/>
      <c r="N1" s="146"/>
      <c r="O1" s="146"/>
      <c r="P1" s="146"/>
      <c r="Q1" s="146"/>
      <c r="R1" s="146"/>
      <c r="S1" s="146"/>
      <c r="T1" s="146"/>
      <c r="U1" s="146"/>
      <c r="V1" s="9"/>
      <c r="X1" s="9"/>
      <c r="Y1" s="9"/>
      <c r="Z1" s="11"/>
      <c r="AA1" s="9"/>
      <c r="AB1" s="9"/>
      <c r="AC1" s="9"/>
      <c r="AD1" s="9"/>
      <c r="AE1" s="9"/>
      <c r="AG1" s="9"/>
      <c r="AH1" s="9"/>
    </row>
    <row r="2" spans="1:34" s="14" customFormat="1" ht="18">
      <c r="A2" s="12"/>
      <c r="B2" s="147" t="s">
        <v>24</v>
      </c>
      <c r="C2" s="147"/>
      <c r="D2" s="147"/>
      <c r="E2" s="147"/>
      <c r="F2" s="147"/>
      <c r="G2" s="147"/>
      <c r="H2" s="147"/>
      <c r="I2" s="147"/>
      <c r="J2" s="147"/>
      <c r="K2" s="147"/>
      <c r="L2" s="147"/>
      <c r="M2" s="147"/>
      <c r="N2" s="147"/>
      <c r="O2" s="147"/>
      <c r="P2" s="147"/>
      <c r="Q2" s="147"/>
      <c r="R2" s="15"/>
      <c r="S2" s="70"/>
      <c r="T2" s="81"/>
      <c r="U2" s="13"/>
      <c r="Y2" s="15" t="s">
        <v>133</v>
      </c>
      <c r="AA2" s="13"/>
      <c r="AB2" s="13"/>
      <c r="AC2" s="13"/>
      <c r="AD2" s="13"/>
      <c r="AH2" s="15" t="s">
        <v>16</v>
      </c>
    </row>
    <row r="4" spans="1:34">
      <c r="B4" s="142" t="s">
        <v>29</v>
      </c>
      <c r="C4" s="143"/>
      <c r="D4" s="143"/>
      <c r="E4" s="143"/>
      <c r="F4" s="143"/>
      <c r="G4" s="95"/>
      <c r="H4" s="143" t="s">
        <v>43</v>
      </c>
      <c r="I4" s="143"/>
      <c r="J4" s="143"/>
      <c r="K4" s="143"/>
      <c r="L4" s="148"/>
      <c r="M4" s="127"/>
      <c r="N4" s="143" t="s">
        <v>131</v>
      </c>
      <c r="O4" s="143"/>
      <c r="P4" s="143"/>
      <c r="Q4" s="143"/>
      <c r="R4" s="143"/>
      <c r="S4" s="143"/>
      <c r="T4" s="143"/>
      <c r="U4" s="148"/>
      <c r="Y4" s="23" t="s">
        <v>132</v>
      </c>
      <c r="Z4" s="24"/>
      <c r="AA4" s="25"/>
      <c r="AB4" s="25"/>
      <c r="AD4" s="19" t="s">
        <v>3</v>
      </c>
      <c r="AH4" s="19" t="s">
        <v>26</v>
      </c>
    </row>
    <row r="5" spans="1:34">
      <c r="B5" s="144"/>
      <c r="C5" s="145"/>
      <c r="D5" s="145"/>
      <c r="E5" s="145"/>
      <c r="F5" s="145"/>
      <c r="G5" s="96"/>
      <c r="H5" s="145"/>
      <c r="I5" s="145"/>
      <c r="J5" s="145"/>
      <c r="K5" s="145"/>
      <c r="L5" s="149"/>
      <c r="M5" s="128"/>
      <c r="N5" s="145"/>
      <c r="O5" s="145"/>
      <c r="P5" s="145"/>
      <c r="Q5" s="145"/>
      <c r="R5" s="145"/>
      <c r="S5" s="145"/>
      <c r="T5" s="145"/>
      <c r="U5" s="149"/>
      <c r="V5" s="16"/>
      <c r="X5" s="16"/>
      <c r="Y5" s="27" t="s">
        <v>12</v>
      </c>
      <c r="Z5" s="28" t="s">
        <v>17</v>
      </c>
      <c r="AA5" s="29"/>
      <c r="AB5" s="30"/>
      <c r="AC5" s="16"/>
      <c r="AD5" s="19" t="s">
        <v>17</v>
      </c>
      <c r="AE5" s="16"/>
      <c r="AG5" s="31" t="s">
        <v>27</v>
      </c>
    </row>
    <row r="6" spans="1:34" s="6" customFormat="1">
      <c r="B6" s="151" t="s">
        <v>44</v>
      </c>
      <c r="C6" s="150" t="s">
        <v>11</v>
      </c>
      <c r="D6" s="150" t="s">
        <v>7</v>
      </c>
      <c r="E6" s="150" t="s">
        <v>45</v>
      </c>
      <c r="F6" s="150" t="s">
        <v>18</v>
      </c>
      <c r="G6" s="148" t="s">
        <v>66</v>
      </c>
      <c r="H6" s="32" t="s">
        <v>1</v>
      </c>
      <c r="I6" s="32" t="s">
        <v>22</v>
      </c>
      <c r="J6" s="19" t="s">
        <v>22</v>
      </c>
      <c r="K6" s="33" t="s">
        <v>22</v>
      </c>
      <c r="L6" s="34" t="s">
        <v>60</v>
      </c>
      <c r="M6" s="32" t="s">
        <v>10</v>
      </c>
      <c r="N6" s="19" t="s">
        <v>3</v>
      </c>
      <c r="O6" s="19" t="s">
        <v>75</v>
      </c>
      <c r="P6" s="19" t="s">
        <v>65</v>
      </c>
      <c r="Q6" s="19" t="s">
        <v>65</v>
      </c>
      <c r="R6" s="19" t="s">
        <v>76</v>
      </c>
      <c r="S6" s="19" t="s">
        <v>17</v>
      </c>
      <c r="T6" s="19" t="s">
        <v>66</v>
      </c>
      <c r="U6" s="111" t="s">
        <v>130</v>
      </c>
      <c r="V6" s="19"/>
      <c r="X6" s="19"/>
      <c r="Y6" s="26" t="s">
        <v>0</v>
      </c>
      <c r="Z6" s="32" t="s">
        <v>1</v>
      </c>
      <c r="AA6" s="19" t="s">
        <v>22</v>
      </c>
      <c r="AB6" s="34" t="s">
        <v>22</v>
      </c>
      <c r="AC6" s="19" t="s">
        <v>3</v>
      </c>
      <c r="AD6" s="19" t="s">
        <v>20</v>
      </c>
      <c r="AE6" s="19"/>
      <c r="AG6" s="19"/>
      <c r="AH6" s="19" t="s">
        <v>25</v>
      </c>
    </row>
    <row r="7" spans="1:34" s="54" customFormat="1">
      <c r="A7" s="54" t="s">
        <v>5</v>
      </c>
      <c r="B7" s="144"/>
      <c r="C7" s="145"/>
      <c r="D7" s="145"/>
      <c r="E7" s="145"/>
      <c r="F7" s="145"/>
      <c r="G7" s="149"/>
      <c r="H7" s="58" t="s">
        <v>8</v>
      </c>
      <c r="I7" s="58" t="s">
        <v>64</v>
      </c>
      <c r="J7" s="56" t="s">
        <v>2</v>
      </c>
      <c r="K7" s="56" t="s">
        <v>9</v>
      </c>
      <c r="L7" s="57"/>
      <c r="M7" s="58" t="s">
        <v>64</v>
      </c>
      <c r="N7" s="56" t="s">
        <v>10</v>
      </c>
      <c r="O7" s="56" t="s">
        <v>14</v>
      </c>
      <c r="P7" s="56" t="s">
        <v>15</v>
      </c>
      <c r="Q7" s="56" t="s">
        <v>77</v>
      </c>
      <c r="R7" s="56" t="s">
        <v>13</v>
      </c>
      <c r="S7" s="56" t="s">
        <v>97</v>
      </c>
      <c r="T7" s="56" t="s">
        <v>9</v>
      </c>
      <c r="U7" s="57" t="s">
        <v>21</v>
      </c>
      <c r="V7" s="56"/>
      <c r="X7" s="56"/>
      <c r="Y7" s="55" t="s">
        <v>6</v>
      </c>
      <c r="Z7" s="58" t="s">
        <v>8</v>
      </c>
      <c r="AA7" s="56" t="s">
        <v>2</v>
      </c>
      <c r="AB7" s="57" t="s">
        <v>9</v>
      </c>
      <c r="AC7" s="56" t="s">
        <v>10</v>
      </c>
      <c r="AD7" s="56" t="s">
        <v>21</v>
      </c>
      <c r="AE7" s="56"/>
      <c r="AG7" s="56"/>
      <c r="AH7" s="56" t="s">
        <v>19</v>
      </c>
    </row>
    <row r="8" spans="1:34">
      <c r="A8" s="6">
        <v>1</v>
      </c>
      <c r="B8" s="35">
        <f>-'Cost Worksheet'!D21*'Cost Worksheet'!D10</f>
        <v>-5000</v>
      </c>
      <c r="C8" s="52">
        <f>-'Cost Worksheet'!$D$28*'Cost Worksheet'!D10</f>
        <v>-3000</v>
      </c>
      <c r="D8" s="52">
        <f>-'Cost Worksheet'!D34*'Cost Worksheet'!D10</f>
        <v>-25000</v>
      </c>
      <c r="E8" s="52">
        <f>-'Cost Worksheet'!D40*'Cost Worksheet'!D10</f>
        <v>-15000</v>
      </c>
      <c r="F8" s="52">
        <f>-'Cost Worksheet'!D46*'Cost Worksheet'!D10*'Cost Worksheet'!D10</f>
        <v>-1200</v>
      </c>
      <c r="G8" s="108">
        <f>-'Cost Worksheet'!D53*'Cost Worksheet'!D10</f>
        <v>-10000</v>
      </c>
      <c r="H8" s="37">
        <f>IF($A8&lt;='Cost Worksheet'!$D$8,'Cost Worksheet'!D62,'Cost Worksheet'!$D$66)</f>
        <v>10</v>
      </c>
      <c r="I8" s="64">
        <f>IF($A8&lt;='Cost Worksheet'!$D$8,'Cost Worksheet'!D76,'Cost Worksheet'!$D$80)*'Cost Worksheet'!D$10</f>
        <v>20000</v>
      </c>
      <c r="J8" s="38">
        <f>-H8*I8</f>
        <v>-200000</v>
      </c>
      <c r="K8" s="39">
        <f>IF($A8&gt;='Cost Worksheet'!$D$84,Calculations!J8*'Cost Worksheet'!$D$82,0)</f>
        <v>-70000</v>
      </c>
      <c r="L8" s="59">
        <f>-'Cost Worksheet'!$D$17</f>
        <v>-5000</v>
      </c>
      <c r="M8" s="64">
        <f>IF($A8&lt;='Cost Worksheet'!$D$8,'Cost Worksheet'!D69,'Cost Worksheet'!$D$73)*'Cost Worksheet'!D$10</f>
        <v>12000</v>
      </c>
      <c r="N8" s="38">
        <f>'Benefits Worksheet'!$D$9*M8/'Cost Worksheet'!$D$80*IF(Calculations!A8&lt;='Cost Worksheet'!$D$8,'Benefits Worksheet'!$D$14,1)</f>
        <v>750000</v>
      </c>
      <c r="O8" s="38">
        <f>'Benefits Worksheet'!$D$22*I8*'Cost Worksheet'!D10/'Cost Worksheet'!$D$80</f>
        <v>240000</v>
      </c>
      <c r="P8" s="38">
        <f>'Benefits Worksheet'!$D$24*I8*'Cost Worksheet'!D10/'Cost Worksheet'!$D$80</f>
        <v>200000</v>
      </c>
      <c r="Q8" s="38">
        <f>'Benefits Worksheet'!$D$26*I8*'Cost Worksheet'!D10*'Cost Worksheet'!D10/'Cost Worksheet'!$D$80</f>
        <v>0</v>
      </c>
      <c r="R8" s="38">
        <f>'Benefits Worksheet'!$D$28*I8*'Cost Worksheet'!D10*'Cost Worksheet'!D10/'Cost Worksheet'!$D$80</f>
        <v>0</v>
      </c>
      <c r="S8" s="38">
        <f>'Benefits Worksheet'!$D$33*I8*'Cost Worksheet'!D10/'Cost Worksheet'!$D$80</f>
        <v>0</v>
      </c>
      <c r="T8" s="38">
        <f>'Benefits Worksheet'!$D$35*I8*'Cost Worksheet'!D10/'Cost Worksheet'!$D$80</f>
        <v>0</v>
      </c>
      <c r="U8" s="89">
        <f>SUM(B8:G8) + SUM(J8:L8)+SUM(N8:T8)</f>
        <v>855800</v>
      </c>
      <c r="V8" s="41"/>
      <c r="X8" s="41"/>
      <c r="Y8" s="42">
        <f>-'Cost Worksheet'!$D$23*'Cost Worksheet'!D10</f>
        <v>-10000</v>
      </c>
      <c r="Z8" s="43">
        <f>'Cost Worksheet'!$D$66</f>
        <v>17.5</v>
      </c>
      <c r="AA8" s="44">
        <f>-Z8*'Cost Worksheet'!$D$80*'Cost Worksheet'!D$10</f>
        <v>-350000</v>
      </c>
      <c r="AB8" s="62">
        <f>AA8*'Cost Worksheet'!$D$82</f>
        <v>-122499.99999999999</v>
      </c>
      <c r="AC8" s="38">
        <f>'Benefits Worksheet'!$D$9*'Cost Worksheet'!D$10</f>
        <v>2500000</v>
      </c>
      <c r="AD8" s="36">
        <f t="shared" ref="AD8:AD47" si="0">Y8 + SUM(AA8:AC8)</f>
        <v>2017500</v>
      </c>
      <c r="AE8" s="41"/>
      <c r="AF8" s="20"/>
      <c r="AG8" s="41"/>
      <c r="AH8" s="36">
        <f>IF(A8&lt;='ROI Calculator'!$D$8,U8-AD8,0)</f>
        <v>-1161700</v>
      </c>
    </row>
    <row r="9" spans="1:34">
      <c r="A9" s="6">
        <v>2</v>
      </c>
      <c r="B9" s="45"/>
      <c r="C9" s="52">
        <f>-'Cost Worksheet'!$D$28</f>
        <v>-300</v>
      </c>
      <c r="D9" s="52">
        <f>-'Cost Worksheet'!D35</f>
        <v>-2500</v>
      </c>
      <c r="E9" s="52">
        <f>-'Cost Worksheet'!D41*'Cost Worksheet'!D10</f>
        <v>-15000</v>
      </c>
      <c r="F9" s="52">
        <f>-'Cost Worksheet'!D47</f>
        <v>-13.5</v>
      </c>
      <c r="G9" s="53">
        <f>-'Cost Worksheet'!D54</f>
        <v>0</v>
      </c>
      <c r="H9" s="37">
        <f>IF($A9&lt;='Cost Worksheet'!$D$8,'Cost Worksheet'!D63,'Cost Worksheet'!$D$66)</f>
        <v>17.5</v>
      </c>
      <c r="I9" s="64">
        <f>IF($A9&lt;='Cost Worksheet'!$D$8,'Cost Worksheet'!D77,'Cost Worksheet'!$D$80)*'Cost Worksheet'!D$10</f>
        <v>20000</v>
      </c>
      <c r="J9" s="38">
        <f t="shared" ref="J9:J47" si="1">-H9*I9</f>
        <v>-350000</v>
      </c>
      <c r="K9" s="39">
        <f>IF($A9&gt;='Cost Worksheet'!$D$84,Calculations!J9*'Cost Worksheet'!$D$82,0)</f>
        <v>-122499.99999999999</v>
      </c>
      <c r="L9" s="40">
        <f>-'Cost Worksheet'!$D$17</f>
        <v>-5000</v>
      </c>
      <c r="M9" s="64">
        <f>IF($A9&lt;='Cost Worksheet'!$D$8,'Cost Worksheet'!D70,'Cost Worksheet'!$D$73)*'Cost Worksheet'!D$10</f>
        <v>20000</v>
      </c>
      <c r="N9" s="38">
        <f>'Benefits Worksheet'!$D$9*M9/'Cost Worksheet'!$D$80*IF(Calculations!A9&lt;='Cost Worksheet'!$D$8,'Benefits Worksheet'!$D$14,1)</f>
        <v>2500000</v>
      </c>
      <c r="O9" s="38">
        <f>'Benefits Worksheet'!$D$22*I9*'Cost Worksheet'!D10/'Cost Worksheet'!$D$80</f>
        <v>240000</v>
      </c>
      <c r="P9" s="38">
        <f>'Benefits Worksheet'!$D$24*I9*'Cost Worksheet'!D$10/'Cost Worksheet'!$D$80</f>
        <v>200000</v>
      </c>
      <c r="Q9" s="38">
        <f>'Benefits Worksheet'!$D$26*I9*'Cost Worksheet'!D10/'Cost Worksheet'!$D$80</f>
        <v>0</v>
      </c>
      <c r="R9" s="38">
        <f>'Benefits Worksheet'!$D$28*I9*'Cost Worksheet'!D10/'Cost Worksheet'!$D$80</f>
        <v>0</v>
      </c>
      <c r="S9" s="38">
        <f>'Benefits Worksheet'!$D$33*I9*'Cost Worksheet'!D10/'Cost Worksheet'!$D$80</f>
        <v>0</v>
      </c>
      <c r="T9" s="38">
        <f>'Benefits Worksheet'!$D$35*I9*'Cost Worksheet'!D10/'Cost Worksheet'!$D$80</f>
        <v>0</v>
      </c>
      <c r="U9" s="89">
        <f t="shared" ref="U9:U47" si="2">SUM(B9:G9) + SUM(J9:T9)</f>
        <v>2464686.5</v>
      </c>
      <c r="V9" s="16"/>
      <c r="X9" s="16"/>
      <c r="Y9" s="47"/>
      <c r="Z9" s="46">
        <f>'Cost Worksheet'!$D$66</f>
        <v>17.5</v>
      </c>
      <c r="AA9" s="47">
        <f>-Z9*'Cost Worksheet'!$D$80*'Cost Worksheet'!D$10</f>
        <v>-350000</v>
      </c>
      <c r="AB9" s="38">
        <f>AA9*'Cost Worksheet'!$D$82</f>
        <v>-122499.99999999999</v>
      </c>
      <c r="AC9" s="38">
        <f>'Benefits Worksheet'!$D$9*'Cost Worksheet'!D$10</f>
        <v>2500000</v>
      </c>
      <c r="AD9" s="36">
        <f t="shared" si="0"/>
        <v>2027500</v>
      </c>
      <c r="AE9" s="16"/>
      <c r="AF9" s="20"/>
      <c r="AG9" s="16"/>
      <c r="AH9" s="36">
        <f>IF(A9&lt;='ROI Calculator'!$D$8,U9-AD9,0)</f>
        <v>437186.5</v>
      </c>
    </row>
    <row r="10" spans="1:34">
      <c r="A10" s="6">
        <v>3</v>
      </c>
      <c r="B10" s="45"/>
      <c r="C10" s="52">
        <f>-'Cost Worksheet'!$D$28</f>
        <v>-300</v>
      </c>
      <c r="D10" s="52">
        <f>-'Cost Worksheet'!D36</f>
        <v>-1500</v>
      </c>
      <c r="E10" s="52">
        <f>-'Cost Worksheet'!D42</f>
        <v>-1000</v>
      </c>
      <c r="F10" s="52">
        <f>-'Cost Worksheet'!D48</f>
        <v>0</v>
      </c>
      <c r="G10" s="53">
        <f>-'Cost Worksheet'!D55</f>
        <v>-500</v>
      </c>
      <c r="H10" s="37">
        <f>IF($A10&lt;='Cost Worksheet'!$D$8,'Cost Worksheet'!D64,'Cost Worksheet'!$D$66)</f>
        <v>17.5</v>
      </c>
      <c r="I10" s="64">
        <f>IF($A10&lt;='Cost Worksheet'!$D$8,'Cost Worksheet'!D78,'Cost Worksheet'!$D$80)*'Cost Worksheet'!D$10</f>
        <v>20000</v>
      </c>
      <c r="J10" s="38">
        <f t="shared" si="1"/>
        <v>-350000</v>
      </c>
      <c r="K10" s="39">
        <f>IF($A10&gt;='Cost Worksheet'!$D$84,Calculations!J10*'Cost Worksheet'!$D$82,0)</f>
        <v>-122499.99999999999</v>
      </c>
      <c r="L10" s="40">
        <f>-'Cost Worksheet'!$D$17</f>
        <v>-5000</v>
      </c>
      <c r="M10" s="64">
        <f>IF($A10&lt;='Cost Worksheet'!$D$8,'Cost Worksheet'!D71,'Cost Worksheet'!$D$73)*'Cost Worksheet'!D$10</f>
        <v>20000</v>
      </c>
      <c r="N10" s="38">
        <f>'Benefits Worksheet'!$D$9*M10/'Cost Worksheet'!$D$80*IF(Calculations!A10&lt;='Cost Worksheet'!$D$8,'Benefits Worksheet'!$D$14,1)</f>
        <v>2500000</v>
      </c>
      <c r="O10" s="48">
        <f>'Benefits Worksheet'!$D$22*I10*'Cost Worksheet'!D10/'Cost Worksheet'!$D$80</f>
        <v>240000</v>
      </c>
      <c r="P10" s="38">
        <f>'Benefits Worksheet'!$D$24*I10*'Cost Worksheet'!D$10/'Cost Worksheet'!$D$80</f>
        <v>200000</v>
      </c>
      <c r="Q10" s="48">
        <f>'Benefits Worksheet'!$D$26*I10*'Cost Worksheet'!D10/'Cost Worksheet'!$D$80</f>
        <v>0</v>
      </c>
      <c r="R10" s="48">
        <f>'Benefits Worksheet'!$D$28*I10*'Cost Worksheet'!D10/'Cost Worksheet'!$D$80</f>
        <v>0</v>
      </c>
      <c r="S10" s="48">
        <f>'Benefits Worksheet'!$D$33*I10*'Cost Worksheet'!D10/'Cost Worksheet'!$D$80</f>
        <v>0</v>
      </c>
      <c r="T10" s="48">
        <f>'Benefits Worksheet'!$D$35*I10*'Cost Worksheet'!D10/'Cost Worksheet'!$D$80</f>
        <v>0</v>
      </c>
      <c r="U10" s="89">
        <f t="shared" si="2"/>
        <v>2479200</v>
      </c>
      <c r="V10" s="16"/>
      <c r="X10" s="16"/>
      <c r="Y10" s="47"/>
      <c r="Z10" s="46">
        <f>'Cost Worksheet'!$D$66</f>
        <v>17.5</v>
      </c>
      <c r="AA10" s="47">
        <f>-Z10*'Cost Worksheet'!$D$80*'Cost Worksheet'!D$10</f>
        <v>-350000</v>
      </c>
      <c r="AB10" s="38">
        <f>AA10*'Cost Worksheet'!$D$82</f>
        <v>-122499.99999999999</v>
      </c>
      <c r="AC10" s="38">
        <f>'Benefits Worksheet'!$D$9*'Cost Worksheet'!D$10</f>
        <v>2500000</v>
      </c>
      <c r="AD10" s="36">
        <f t="shared" si="0"/>
        <v>2027500</v>
      </c>
      <c r="AE10" s="16"/>
      <c r="AF10" s="20"/>
      <c r="AG10" s="16"/>
      <c r="AH10" s="36">
        <f>IF(A10&lt;='ROI Calculator'!$D$8,U10-AD10,0)</f>
        <v>451700</v>
      </c>
    </row>
    <row r="11" spans="1:34">
      <c r="A11" s="6">
        <v>4</v>
      </c>
      <c r="B11" s="45"/>
      <c r="C11" s="52">
        <f>-'Cost Worksheet'!$D$28</f>
        <v>-300</v>
      </c>
      <c r="D11" s="52">
        <f>-'Cost Worksheet'!D37</f>
        <v>0</v>
      </c>
      <c r="E11" s="52">
        <f>-'Cost Worksheet'!D43</f>
        <v>0</v>
      </c>
      <c r="F11" s="52">
        <f>-'Cost Worksheet'!D49</f>
        <v>0</v>
      </c>
      <c r="G11" s="53">
        <f>-'Cost Worksheet'!D56</f>
        <v>0</v>
      </c>
      <c r="H11" s="37">
        <f>IF($A11&lt;='Cost Worksheet'!$D$8,'Cost Worksheet'!D65,'Cost Worksheet'!$D$66)</f>
        <v>17.5</v>
      </c>
      <c r="I11" s="64">
        <f>IF($A11&lt;='Cost Worksheet'!$D$8,'Cost Worksheet'!D79,'Cost Worksheet'!$D$80)*'Cost Worksheet'!D$10</f>
        <v>20000</v>
      </c>
      <c r="J11" s="47">
        <f t="shared" si="1"/>
        <v>-350000</v>
      </c>
      <c r="K11" s="39">
        <f>IF($A11&gt;='Cost Worksheet'!$D$84,Calculations!J11*'Cost Worksheet'!$D$82,0)</f>
        <v>-122499.99999999999</v>
      </c>
      <c r="L11" s="40">
        <f>-'Cost Worksheet'!$D$17</f>
        <v>-5000</v>
      </c>
      <c r="M11" s="64">
        <f>IF($A11&lt;='Cost Worksheet'!$D$8,'Cost Worksheet'!D72,'Cost Worksheet'!$D$73)*'Cost Worksheet'!D$10</f>
        <v>20000</v>
      </c>
      <c r="N11" s="38">
        <f>'Benefits Worksheet'!$D$9*M11/'Cost Worksheet'!$D$80*IF(Calculations!A11&lt;='Cost Worksheet'!$D$8,'Benefits Worksheet'!$D$14,1)</f>
        <v>2500000</v>
      </c>
      <c r="O11" s="48">
        <f>'Benefits Worksheet'!$D$22*I11*'Cost Worksheet'!D10/'Cost Worksheet'!$D$80</f>
        <v>240000</v>
      </c>
      <c r="P11" s="38">
        <f>'Benefits Worksheet'!$D$24*I11*'Cost Worksheet'!D$10/'Cost Worksheet'!$D$80</f>
        <v>200000</v>
      </c>
      <c r="Q11" s="48">
        <f>'Benefits Worksheet'!$D$26*I11*'Cost Worksheet'!D10/'Cost Worksheet'!$D$80</f>
        <v>0</v>
      </c>
      <c r="R11" s="48">
        <f>'Benefits Worksheet'!$D$28*I11*'Cost Worksheet'!D10/'Cost Worksheet'!$D$80</f>
        <v>0</v>
      </c>
      <c r="S11" s="48">
        <f>'Benefits Worksheet'!$D$33*I11*'Cost Worksheet'!D10/'Cost Worksheet'!$D$80</f>
        <v>0</v>
      </c>
      <c r="T11" s="48">
        <f>'Benefits Worksheet'!$D$35*I11*'Cost Worksheet'!D10/'Cost Worksheet'!$D$80</f>
        <v>0</v>
      </c>
      <c r="U11" s="89">
        <f t="shared" si="2"/>
        <v>2482200</v>
      </c>
      <c r="V11" s="16"/>
      <c r="X11" s="16"/>
      <c r="Y11" s="47"/>
      <c r="Z11" s="46">
        <f>'Cost Worksheet'!$D$66</f>
        <v>17.5</v>
      </c>
      <c r="AA11" s="47">
        <f>-Z11*'Cost Worksheet'!$D$80*'Cost Worksheet'!D$10</f>
        <v>-350000</v>
      </c>
      <c r="AB11" s="38">
        <f>AA11*'Cost Worksheet'!$D$82</f>
        <v>-122499.99999999999</v>
      </c>
      <c r="AC11" s="38">
        <f>'Benefits Worksheet'!$D$9*'Cost Worksheet'!D$10</f>
        <v>2500000</v>
      </c>
      <c r="AD11" s="36">
        <f t="shared" si="0"/>
        <v>2027500</v>
      </c>
      <c r="AE11" s="16"/>
      <c r="AF11" s="20"/>
      <c r="AG11" s="16"/>
      <c r="AH11" s="36">
        <f>IF(A11&lt;='ROI Calculator'!$D$8,U11-AD11,0)</f>
        <v>454700</v>
      </c>
    </row>
    <row r="12" spans="1:34">
      <c r="A12" s="6">
        <v>5</v>
      </c>
      <c r="B12" s="45"/>
      <c r="C12" s="52"/>
      <c r="D12" s="52"/>
      <c r="E12" s="52"/>
      <c r="F12" s="52"/>
      <c r="G12" s="53"/>
      <c r="H12" s="37">
        <f>'Cost Worksheet'!$D$66</f>
        <v>17.5</v>
      </c>
      <c r="I12" s="64">
        <f>IF($A12&lt;='Cost Worksheet'!$D$8,'Cost Worksheet'!D80,'Cost Worksheet'!$D$80)*'Cost Worksheet'!D$10</f>
        <v>20000</v>
      </c>
      <c r="J12" s="38">
        <f t="shared" si="1"/>
        <v>-350000</v>
      </c>
      <c r="K12" s="38">
        <f>IF($A12&gt;='Cost Worksheet'!$D$84,Calculations!J12*'Cost Worksheet'!$D$82,0)</f>
        <v>-122499.99999999999</v>
      </c>
      <c r="L12" s="40">
        <f>-'Cost Worksheet'!$D$17</f>
        <v>-5000</v>
      </c>
      <c r="M12" s="64">
        <f>IF($A12&lt;='Cost Worksheet'!$D$8,'Cost Worksheet'!D73,'Cost Worksheet'!$D$73)*'Cost Worksheet'!D$10</f>
        <v>20000</v>
      </c>
      <c r="N12" s="38">
        <f>'Benefits Worksheet'!$D$9*M12/'Cost Worksheet'!$D$80*IF(Calculations!A12&lt;='Cost Worksheet'!$D$8,'Benefits Worksheet'!$D$14,1)</f>
        <v>2500000</v>
      </c>
      <c r="O12" s="48">
        <f>'Benefits Worksheet'!$D$22*I12*'Cost Worksheet'!D10/'Cost Worksheet'!$D$80</f>
        <v>240000</v>
      </c>
      <c r="P12" s="38">
        <f>'Benefits Worksheet'!$D$24*I12*'Cost Worksheet'!D$10/'Cost Worksheet'!$D$80</f>
        <v>200000</v>
      </c>
      <c r="Q12" s="48">
        <f>'Benefits Worksheet'!$D$26*I12*'Cost Worksheet'!D10/'Cost Worksheet'!$D$80</f>
        <v>0</v>
      </c>
      <c r="R12" s="48">
        <f>'Benefits Worksheet'!$D$28*I12*'Cost Worksheet'!D10/'Cost Worksheet'!$D$80</f>
        <v>0</v>
      </c>
      <c r="S12" s="48">
        <f>'Benefits Worksheet'!$D$33*I12*'Cost Worksheet'!D10/'Cost Worksheet'!$D$80</f>
        <v>0</v>
      </c>
      <c r="T12" s="48">
        <f>'Benefits Worksheet'!$D$35*I12*'Cost Worksheet'!D10/'Cost Worksheet'!$D$80</f>
        <v>0</v>
      </c>
      <c r="U12" s="89">
        <f t="shared" si="2"/>
        <v>2482500</v>
      </c>
      <c r="V12" s="16"/>
      <c r="X12" s="16"/>
      <c r="Y12" s="38"/>
      <c r="Z12" s="46">
        <f>'Cost Worksheet'!$D$66</f>
        <v>17.5</v>
      </c>
      <c r="AA12" s="47">
        <f>-Z12*'Cost Worksheet'!$D$80*'Cost Worksheet'!D$10</f>
        <v>-350000</v>
      </c>
      <c r="AB12" s="38">
        <f>AA12*'Cost Worksheet'!$D$82</f>
        <v>-122499.99999999999</v>
      </c>
      <c r="AC12" s="38">
        <f>'Benefits Worksheet'!$D$9*'Cost Worksheet'!D$10</f>
        <v>2500000</v>
      </c>
      <c r="AD12" s="36">
        <f t="shared" si="0"/>
        <v>2027500</v>
      </c>
      <c r="AE12" s="16"/>
      <c r="AF12" s="20"/>
      <c r="AG12" s="16"/>
      <c r="AH12" s="36">
        <f>IF(A12&lt;='ROI Calculator'!$D$8,U12-AD12,0)</f>
        <v>455000</v>
      </c>
    </row>
    <row r="13" spans="1:34">
      <c r="A13" s="6">
        <v>6</v>
      </c>
      <c r="B13" s="45"/>
      <c r="C13" s="52"/>
      <c r="D13" s="52"/>
      <c r="E13" s="52"/>
      <c r="F13" s="52"/>
      <c r="G13" s="53"/>
      <c r="H13" s="37">
        <f>'Cost Worksheet'!$D$66</f>
        <v>17.5</v>
      </c>
      <c r="I13" s="64">
        <f>IF($A13&lt;='Cost Worksheet'!$D$8,'Cost Worksheet'!D81,'Cost Worksheet'!$D$80)*'Cost Worksheet'!D$10</f>
        <v>20000</v>
      </c>
      <c r="J13" s="38">
        <f t="shared" si="1"/>
        <v>-350000</v>
      </c>
      <c r="K13" s="38">
        <f>IF($A13&gt;='Cost Worksheet'!$D$84,Calculations!J13*'Cost Worksheet'!$D$82,0)</f>
        <v>-122499.99999999999</v>
      </c>
      <c r="L13" s="40">
        <f>-'Cost Worksheet'!$D$17</f>
        <v>-5000</v>
      </c>
      <c r="M13" s="64">
        <f>IF($A13&lt;='Cost Worksheet'!$D$8,'Cost Worksheet'!D74,'Cost Worksheet'!$D$73)*'Cost Worksheet'!D$10</f>
        <v>20000</v>
      </c>
      <c r="N13" s="38">
        <f>'Benefits Worksheet'!$D$9*M13/'Cost Worksheet'!$D$80*IF(Calculations!A13&lt;='Cost Worksheet'!$D$8,'Benefits Worksheet'!$D$14,1)</f>
        <v>2500000</v>
      </c>
      <c r="O13" s="48">
        <f>'Benefits Worksheet'!$D$22*I13*'Cost Worksheet'!D10/'Cost Worksheet'!$D$80</f>
        <v>240000</v>
      </c>
      <c r="P13" s="38">
        <f>'Benefits Worksheet'!$D$24*I13*'Cost Worksheet'!D$10/'Cost Worksheet'!$D$80</f>
        <v>200000</v>
      </c>
      <c r="Q13" s="48">
        <f>'Benefits Worksheet'!$D$26*I13*'Cost Worksheet'!D10/'Cost Worksheet'!$D$80</f>
        <v>0</v>
      </c>
      <c r="R13" s="48">
        <f>'Benefits Worksheet'!$D$28*I13*'Cost Worksheet'!D10/'Cost Worksheet'!$D$80</f>
        <v>0</v>
      </c>
      <c r="S13" s="48">
        <f>'Benefits Worksheet'!$D$33*I13*'Cost Worksheet'!D10/'Cost Worksheet'!$D$80</f>
        <v>0</v>
      </c>
      <c r="T13" s="48">
        <f>'Benefits Worksheet'!$D$35*I13*'Cost Worksheet'!D10/'Cost Worksheet'!$D$80</f>
        <v>0</v>
      </c>
      <c r="U13" s="89">
        <f t="shared" si="2"/>
        <v>2482500</v>
      </c>
      <c r="V13" s="16"/>
      <c r="X13" s="16"/>
      <c r="Y13" s="38"/>
      <c r="Z13" s="46">
        <f>'Cost Worksheet'!$D$66</f>
        <v>17.5</v>
      </c>
      <c r="AA13" s="47">
        <f>-Z13*'Cost Worksheet'!$D$80*'Cost Worksheet'!D$10</f>
        <v>-350000</v>
      </c>
      <c r="AB13" s="38">
        <f>AA13*'Cost Worksheet'!$D$82</f>
        <v>-122499.99999999999</v>
      </c>
      <c r="AC13" s="38">
        <f>'Benefits Worksheet'!$D$9*'Cost Worksheet'!D$10</f>
        <v>2500000</v>
      </c>
      <c r="AD13" s="36">
        <f t="shared" si="0"/>
        <v>2027500</v>
      </c>
      <c r="AE13" s="16"/>
      <c r="AF13" s="20"/>
      <c r="AG13" s="16"/>
      <c r="AH13" s="36">
        <f>IF(A13&lt;='ROI Calculator'!$D$8,U13-AD13,0)</f>
        <v>455000</v>
      </c>
    </row>
    <row r="14" spans="1:34">
      <c r="A14" s="6">
        <v>7</v>
      </c>
      <c r="B14" s="45"/>
      <c r="C14" s="52"/>
      <c r="D14" s="52"/>
      <c r="E14" s="52"/>
      <c r="F14" s="52"/>
      <c r="G14" s="53"/>
      <c r="H14" s="37">
        <f>'Cost Worksheet'!$D$66</f>
        <v>17.5</v>
      </c>
      <c r="I14" s="64">
        <f>'Cost Worksheet'!$D$80*'Cost Worksheet'!D$10</f>
        <v>20000</v>
      </c>
      <c r="J14" s="38">
        <f t="shared" si="1"/>
        <v>-350000</v>
      </c>
      <c r="K14" s="38">
        <f>IF($A14&gt;='Cost Worksheet'!$D$84,Calculations!J14*'Cost Worksheet'!$D$82,0)</f>
        <v>-122499.99999999999</v>
      </c>
      <c r="L14" s="60">
        <f>-'Cost Worksheet'!$D$17</f>
        <v>-5000</v>
      </c>
      <c r="M14" s="64">
        <f>'Cost Worksheet'!$D$73*'Cost Worksheet'!D$10</f>
        <v>20000</v>
      </c>
      <c r="N14" s="38">
        <f>'Benefits Worksheet'!$D$9*M14/'Cost Worksheet'!$D$80</f>
        <v>2500000</v>
      </c>
      <c r="O14" s="48">
        <f>'Benefits Worksheet'!$D$22*I14*'Cost Worksheet'!D$10/'Cost Worksheet'!$D$80</f>
        <v>240000</v>
      </c>
      <c r="P14" s="48">
        <f>'Benefits Worksheet'!$D$24*I14*'Cost Worksheet'!D$10/'Cost Worksheet'!$D$80</f>
        <v>200000</v>
      </c>
      <c r="Q14" s="48">
        <f>'Benefits Worksheet'!$D$26*I14*'Cost Worksheet'!D$10/'Cost Worksheet'!$D$80</f>
        <v>0</v>
      </c>
      <c r="R14" s="48">
        <f>'Benefits Worksheet'!$D$28*I14*'Cost Worksheet'!D$10/'Cost Worksheet'!$D$80</f>
        <v>0</v>
      </c>
      <c r="S14" s="48">
        <f>'Benefits Worksheet'!$D$33*I14*'Cost Worksheet'!D$10/'Cost Worksheet'!$D$80</f>
        <v>0</v>
      </c>
      <c r="T14" s="48">
        <f>'Benefits Worksheet'!$D$35*I14*'Cost Worksheet'!D$10/'Cost Worksheet'!$D$80</f>
        <v>0</v>
      </c>
      <c r="U14" s="89">
        <f t="shared" si="2"/>
        <v>2482500</v>
      </c>
      <c r="V14" s="16"/>
      <c r="X14" s="16"/>
      <c r="Y14" s="38"/>
      <c r="Z14" s="46">
        <f>'Cost Worksheet'!$D$66</f>
        <v>17.5</v>
      </c>
      <c r="AA14" s="38">
        <f>-Z14*'Cost Worksheet'!$D$80*'Cost Worksheet'!D$10</f>
        <v>-350000</v>
      </c>
      <c r="AB14" s="38">
        <f>AA14*'Cost Worksheet'!$D$82</f>
        <v>-122499.99999999999</v>
      </c>
      <c r="AC14" s="38">
        <f>'Benefits Worksheet'!$D$9*'Cost Worksheet'!D$10</f>
        <v>2500000</v>
      </c>
      <c r="AD14" s="36">
        <f t="shared" si="0"/>
        <v>2027500</v>
      </c>
      <c r="AE14" s="16"/>
      <c r="AF14" s="20"/>
      <c r="AG14" s="16"/>
      <c r="AH14" s="36">
        <f>IF(A14&lt;='ROI Calculator'!$D$8,U14-AD14,0)</f>
        <v>0</v>
      </c>
    </row>
    <row r="15" spans="1:34">
      <c r="A15" s="6">
        <v>8</v>
      </c>
      <c r="B15" s="45"/>
      <c r="C15" s="52"/>
      <c r="D15" s="52"/>
      <c r="E15" s="52"/>
      <c r="F15" s="52"/>
      <c r="G15" s="53"/>
      <c r="H15" s="37">
        <f>'Cost Worksheet'!$D$66</f>
        <v>17.5</v>
      </c>
      <c r="I15" s="64">
        <f>'Cost Worksheet'!$D$80*'Cost Worksheet'!D$10</f>
        <v>20000</v>
      </c>
      <c r="J15" s="38">
        <f t="shared" si="1"/>
        <v>-350000</v>
      </c>
      <c r="K15" s="38">
        <f>IF($A15&gt;='Cost Worksheet'!$D$84,Calculations!J15*'Cost Worksheet'!$D$82,0)</f>
        <v>-122499.99999999999</v>
      </c>
      <c r="L15" s="60">
        <f>-'Cost Worksheet'!$D$17</f>
        <v>-5000</v>
      </c>
      <c r="M15" s="64">
        <f>'Cost Worksheet'!$D$73*'Cost Worksheet'!D$10</f>
        <v>20000</v>
      </c>
      <c r="N15" s="38">
        <f>'Benefits Worksheet'!$D$9*M15/'Cost Worksheet'!$D$80</f>
        <v>2500000</v>
      </c>
      <c r="O15" s="48">
        <f>'Benefits Worksheet'!$D$22*I15*'Cost Worksheet'!D$10/'Cost Worksheet'!$D$80</f>
        <v>240000</v>
      </c>
      <c r="P15" s="48">
        <f>'Benefits Worksheet'!$D$24*I15*'Cost Worksheet'!D$10/'Cost Worksheet'!$D$80</f>
        <v>200000</v>
      </c>
      <c r="Q15" s="48">
        <f>'Benefits Worksheet'!$D$26*I15*'Cost Worksheet'!D$10/'Cost Worksheet'!$D$80</f>
        <v>0</v>
      </c>
      <c r="R15" s="48">
        <f>'Benefits Worksheet'!$D$28*I15*'Cost Worksheet'!D$10/'Cost Worksheet'!$D$80</f>
        <v>0</v>
      </c>
      <c r="S15" s="48">
        <f>'Benefits Worksheet'!$D$33*I15*'Cost Worksheet'!D$10/'Cost Worksheet'!$D$80</f>
        <v>0</v>
      </c>
      <c r="T15" s="48">
        <f>'Benefits Worksheet'!$D$35*I15*'Cost Worksheet'!D$10/'Cost Worksheet'!$D$80</f>
        <v>0</v>
      </c>
      <c r="U15" s="89">
        <f t="shared" si="2"/>
        <v>2482500</v>
      </c>
      <c r="V15" s="16"/>
      <c r="X15" s="16"/>
      <c r="Y15" s="38"/>
      <c r="Z15" s="46">
        <f>'Cost Worksheet'!$D$66</f>
        <v>17.5</v>
      </c>
      <c r="AA15" s="38">
        <f>-Z15*'Cost Worksheet'!$D$80*'Cost Worksheet'!D$10</f>
        <v>-350000</v>
      </c>
      <c r="AB15" s="38">
        <f>AA15*'Cost Worksheet'!$D$82</f>
        <v>-122499.99999999999</v>
      </c>
      <c r="AC15" s="38">
        <f>'Benefits Worksheet'!$D$9*'Cost Worksheet'!D$10</f>
        <v>2500000</v>
      </c>
      <c r="AD15" s="36">
        <f t="shared" si="0"/>
        <v>2027500</v>
      </c>
      <c r="AE15" s="16"/>
      <c r="AF15" s="20"/>
      <c r="AG15" s="16"/>
      <c r="AH15" s="36">
        <f>IF(A15&lt;='ROI Calculator'!$D$8,U15-AD15,0)</f>
        <v>0</v>
      </c>
    </row>
    <row r="16" spans="1:34">
      <c r="A16" s="6">
        <v>9</v>
      </c>
      <c r="B16" s="45"/>
      <c r="C16" s="52"/>
      <c r="D16" s="52"/>
      <c r="E16" s="52"/>
      <c r="F16" s="52"/>
      <c r="G16" s="53"/>
      <c r="H16" s="37">
        <f>'Cost Worksheet'!$D$66</f>
        <v>17.5</v>
      </c>
      <c r="I16" s="64">
        <f>'Cost Worksheet'!$D$80*'Cost Worksheet'!D$10</f>
        <v>20000</v>
      </c>
      <c r="J16" s="38">
        <f t="shared" si="1"/>
        <v>-350000</v>
      </c>
      <c r="K16" s="38">
        <f>IF($A16&gt;='Cost Worksheet'!$D$84,Calculations!J16*'Cost Worksheet'!$D$82,0)</f>
        <v>-122499.99999999999</v>
      </c>
      <c r="L16" s="60">
        <f>-'Cost Worksheet'!$D$17</f>
        <v>-5000</v>
      </c>
      <c r="M16" s="64">
        <f>'Cost Worksheet'!$D$73*'Cost Worksheet'!D$10</f>
        <v>20000</v>
      </c>
      <c r="N16" s="38">
        <f>'Benefits Worksheet'!$D$9*M16/'Cost Worksheet'!$D$80</f>
        <v>2500000</v>
      </c>
      <c r="O16" s="48">
        <f>'Benefits Worksheet'!$D$22*I16*'Cost Worksheet'!D$10/'Cost Worksheet'!$D$80</f>
        <v>240000</v>
      </c>
      <c r="P16" s="48">
        <f>'Benefits Worksheet'!$D$24*I16*'Cost Worksheet'!D$10/'Cost Worksheet'!$D$80</f>
        <v>200000</v>
      </c>
      <c r="Q16" s="48">
        <f>'Benefits Worksheet'!$D$26*I16*'Cost Worksheet'!D$10/'Cost Worksheet'!$D$80</f>
        <v>0</v>
      </c>
      <c r="R16" s="48">
        <f>'Benefits Worksheet'!$D$28*I16*'Cost Worksheet'!D$10/'Cost Worksheet'!$D$80</f>
        <v>0</v>
      </c>
      <c r="S16" s="48">
        <f>'Benefits Worksheet'!$D$33*I16*'Cost Worksheet'!D$10/'Cost Worksheet'!$D$80</f>
        <v>0</v>
      </c>
      <c r="T16" s="48">
        <f>'Benefits Worksheet'!$D$35*I16*'Cost Worksheet'!D$10/'Cost Worksheet'!$D$80</f>
        <v>0</v>
      </c>
      <c r="U16" s="89">
        <f t="shared" si="2"/>
        <v>2482500</v>
      </c>
      <c r="V16" s="16"/>
      <c r="X16" s="16"/>
      <c r="Y16" s="38"/>
      <c r="Z16" s="46">
        <f>'Cost Worksheet'!$D$66</f>
        <v>17.5</v>
      </c>
      <c r="AA16" s="38">
        <f>-Z16*'Cost Worksheet'!$D$80*'Cost Worksheet'!D$10</f>
        <v>-350000</v>
      </c>
      <c r="AB16" s="38">
        <f>AA16*'Cost Worksheet'!$D$82</f>
        <v>-122499.99999999999</v>
      </c>
      <c r="AC16" s="38">
        <f>'Benefits Worksheet'!$D$9*'Cost Worksheet'!D$10</f>
        <v>2500000</v>
      </c>
      <c r="AD16" s="36">
        <f t="shared" si="0"/>
        <v>2027500</v>
      </c>
      <c r="AE16" s="16"/>
      <c r="AF16" s="20"/>
      <c r="AG16" s="16"/>
      <c r="AH16" s="36">
        <f>IF(A16&lt;='ROI Calculator'!$D$8,U16-AD16,0)</f>
        <v>0</v>
      </c>
    </row>
    <row r="17" spans="1:34">
      <c r="A17" s="6">
        <v>10</v>
      </c>
      <c r="B17" s="45"/>
      <c r="C17" s="52"/>
      <c r="D17" s="52"/>
      <c r="E17" s="52"/>
      <c r="F17" s="52"/>
      <c r="G17" s="53"/>
      <c r="H17" s="37">
        <f>'Cost Worksheet'!$D$66</f>
        <v>17.5</v>
      </c>
      <c r="I17" s="64">
        <f>'Cost Worksheet'!$D$80*'Cost Worksheet'!D$10</f>
        <v>20000</v>
      </c>
      <c r="J17" s="38">
        <f t="shared" si="1"/>
        <v>-350000</v>
      </c>
      <c r="K17" s="38">
        <f>IF($A17&gt;='Cost Worksheet'!$D$84,Calculations!J17*'Cost Worksheet'!$D$82,0)</f>
        <v>-122499.99999999999</v>
      </c>
      <c r="L17" s="60">
        <f>-'Cost Worksheet'!$D$17</f>
        <v>-5000</v>
      </c>
      <c r="M17" s="64">
        <f>'Cost Worksheet'!$D$73*'Cost Worksheet'!D$10</f>
        <v>20000</v>
      </c>
      <c r="N17" s="38">
        <f>'Benefits Worksheet'!$D$9*M17/'Cost Worksheet'!$D$80</f>
        <v>2500000</v>
      </c>
      <c r="O17" s="48">
        <f>'Benefits Worksheet'!$D$22*I17*'Cost Worksheet'!D$10/'Cost Worksheet'!$D$80</f>
        <v>240000</v>
      </c>
      <c r="P17" s="48">
        <f>'Benefits Worksheet'!$D$24*I17*'Cost Worksheet'!D$10/'Cost Worksheet'!$D$80</f>
        <v>200000</v>
      </c>
      <c r="Q17" s="48">
        <f>'Benefits Worksheet'!$D$26*I17*'Cost Worksheet'!D$10/'Cost Worksheet'!$D$80</f>
        <v>0</v>
      </c>
      <c r="R17" s="48">
        <f>'Benefits Worksheet'!$D$28*I17*'Cost Worksheet'!D$10/'Cost Worksheet'!$D$80</f>
        <v>0</v>
      </c>
      <c r="S17" s="48">
        <f>'Benefits Worksheet'!$D$33*I17*'Cost Worksheet'!D$10/'Cost Worksheet'!$D$80</f>
        <v>0</v>
      </c>
      <c r="T17" s="48">
        <f>'Benefits Worksheet'!$D$35*I17*'Cost Worksheet'!D$10/'Cost Worksheet'!$D$80</f>
        <v>0</v>
      </c>
      <c r="U17" s="89">
        <f t="shared" si="2"/>
        <v>2482500</v>
      </c>
      <c r="V17" s="16"/>
      <c r="X17" s="16"/>
      <c r="Y17" s="38"/>
      <c r="Z17" s="46">
        <f>'Cost Worksheet'!$D$66</f>
        <v>17.5</v>
      </c>
      <c r="AA17" s="38">
        <f>-Z17*'Cost Worksheet'!$D$80*'Cost Worksheet'!D$10</f>
        <v>-350000</v>
      </c>
      <c r="AB17" s="38">
        <f>AA17*'Cost Worksheet'!$D$82</f>
        <v>-122499.99999999999</v>
      </c>
      <c r="AC17" s="38">
        <f>'Benefits Worksheet'!$D$9*'Cost Worksheet'!D$10</f>
        <v>2500000</v>
      </c>
      <c r="AD17" s="36">
        <f t="shared" si="0"/>
        <v>2027500</v>
      </c>
      <c r="AE17" s="16"/>
      <c r="AF17" s="20"/>
      <c r="AG17" s="16"/>
      <c r="AH17" s="36">
        <f>IF(A17&lt;='ROI Calculator'!$D$8,U17-AD17,0)</f>
        <v>0</v>
      </c>
    </row>
    <row r="18" spans="1:34">
      <c r="A18" s="6">
        <v>11</v>
      </c>
      <c r="B18" s="45"/>
      <c r="C18" s="52"/>
      <c r="D18" s="52"/>
      <c r="E18" s="52"/>
      <c r="F18" s="52"/>
      <c r="G18" s="53"/>
      <c r="H18" s="37">
        <f>'Cost Worksheet'!$D$66</f>
        <v>17.5</v>
      </c>
      <c r="I18" s="64">
        <f>'Cost Worksheet'!$D$80*'Cost Worksheet'!D$10</f>
        <v>20000</v>
      </c>
      <c r="J18" s="38">
        <f t="shared" si="1"/>
        <v>-350000</v>
      </c>
      <c r="K18" s="38">
        <f>IF($A18&gt;='Cost Worksheet'!$D$84,Calculations!J18*'Cost Worksheet'!$D$82,0)</f>
        <v>-122499.99999999999</v>
      </c>
      <c r="L18" s="60">
        <f>-'Cost Worksheet'!$D$17</f>
        <v>-5000</v>
      </c>
      <c r="M18" s="64">
        <f>'Cost Worksheet'!$D$73*'Cost Worksheet'!D$10</f>
        <v>20000</v>
      </c>
      <c r="N18" s="38">
        <f>'Benefits Worksheet'!$D$9*M18/'Cost Worksheet'!$D$80</f>
        <v>2500000</v>
      </c>
      <c r="O18" s="48">
        <f>'Benefits Worksheet'!$D$22*I18*'Cost Worksheet'!D$10/'Cost Worksheet'!$D$80</f>
        <v>240000</v>
      </c>
      <c r="P18" s="48">
        <f>'Benefits Worksheet'!$D$24*I18*'Cost Worksheet'!D$10/'Cost Worksheet'!$D$80</f>
        <v>200000</v>
      </c>
      <c r="Q18" s="48">
        <f>'Benefits Worksheet'!$D$26*I18*'Cost Worksheet'!D$10/'Cost Worksheet'!$D$80</f>
        <v>0</v>
      </c>
      <c r="R18" s="48">
        <f>'Benefits Worksheet'!$D$28*I18*'Cost Worksheet'!D$10/'Cost Worksheet'!$D$80</f>
        <v>0</v>
      </c>
      <c r="S18" s="48">
        <f>'Benefits Worksheet'!$D$33*I18*'Cost Worksheet'!D$10/'Cost Worksheet'!$D$80</f>
        <v>0</v>
      </c>
      <c r="T18" s="48">
        <f>'Benefits Worksheet'!$D$35*I18*'Cost Worksheet'!D$10/'Cost Worksheet'!$D$80</f>
        <v>0</v>
      </c>
      <c r="U18" s="89">
        <f t="shared" si="2"/>
        <v>2482500</v>
      </c>
      <c r="V18" s="16"/>
      <c r="X18" s="16"/>
      <c r="Y18" s="38"/>
      <c r="Z18" s="46">
        <f>'Cost Worksheet'!$D$66</f>
        <v>17.5</v>
      </c>
      <c r="AA18" s="38">
        <f>-Z18*'Cost Worksheet'!$D$80*'Cost Worksheet'!D$10</f>
        <v>-350000</v>
      </c>
      <c r="AB18" s="38">
        <f>AA18*'Cost Worksheet'!$D$82</f>
        <v>-122499.99999999999</v>
      </c>
      <c r="AC18" s="38">
        <f>'Benefits Worksheet'!$D$9*'Cost Worksheet'!D$10</f>
        <v>2500000</v>
      </c>
      <c r="AD18" s="36">
        <f t="shared" si="0"/>
        <v>2027500</v>
      </c>
      <c r="AE18" s="16"/>
      <c r="AF18" s="20"/>
      <c r="AG18" s="16"/>
      <c r="AH18" s="36">
        <f>IF(A18&lt;='ROI Calculator'!$D$8,U18-AD18,0)</f>
        <v>0</v>
      </c>
    </row>
    <row r="19" spans="1:34">
      <c r="A19" s="6">
        <v>12</v>
      </c>
      <c r="B19" s="45"/>
      <c r="C19" s="52"/>
      <c r="D19" s="52"/>
      <c r="E19" s="52"/>
      <c r="F19" s="52"/>
      <c r="G19" s="53"/>
      <c r="H19" s="37">
        <f>'Cost Worksheet'!$D$66</f>
        <v>17.5</v>
      </c>
      <c r="I19" s="64">
        <f>'Cost Worksheet'!$D$80*'Cost Worksheet'!D$10</f>
        <v>20000</v>
      </c>
      <c r="J19" s="38">
        <f t="shared" si="1"/>
        <v>-350000</v>
      </c>
      <c r="K19" s="38">
        <f>IF($A19&gt;='Cost Worksheet'!$D$84,Calculations!J19*'Cost Worksheet'!$D$82,0)</f>
        <v>-122499.99999999999</v>
      </c>
      <c r="L19" s="60">
        <f>-'Cost Worksheet'!$D$17</f>
        <v>-5000</v>
      </c>
      <c r="M19" s="64">
        <f>'Cost Worksheet'!$D$73*'Cost Worksheet'!D$10</f>
        <v>20000</v>
      </c>
      <c r="N19" s="38">
        <f>'Benefits Worksheet'!$D$9*M19/'Cost Worksheet'!$D$80</f>
        <v>2500000</v>
      </c>
      <c r="O19" s="48">
        <f>'Benefits Worksheet'!$D$22*I19*'Cost Worksheet'!D$10/'Cost Worksheet'!$D$80</f>
        <v>240000</v>
      </c>
      <c r="P19" s="48">
        <f>'Benefits Worksheet'!$D$24*I19*'Cost Worksheet'!D$10/'Cost Worksheet'!$D$80</f>
        <v>200000</v>
      </c>
      <c r="Q19" s="48">
        <f>'Benefits Worksheet'!$D$26*I19*'Cost Worksheet'!D$10/'Cost Worksheet'!$D$80</f>
        <v>0</v>
      </c>
      <c r="R19" s="48">
        <f>'Benefits Worksheet'!$D$28*I19*'Cost Worksheet'!D$10/'Cost Worksheet'!$D$80</f>
        <v>0</v>
      </c>
      <c r="S19" s="48">
        <f>'Benefits Worksheet'!$D$33*I19*'Cost Worksheet'!D$10/'Cost Worksheet'!$D$80</f>
        <v>0</v>
      </c>
      <c r="T19" s="48">
        <f>'Benefits Worksheet'!$D$35*I19*'Cost Worksheet'!D$10/'Cost Worksheet'!$D$80</f>
        <v>0</v>
      </c>
      <c r="U19" s="89">
        <f t="shared" si="2"/>
        <v>2482500</v>
      </c>
      <c r="V19" s="16"/>
      <c r="X19" s="16"/>
      <c r="Y19" s="38"/>
      <c r="Z19" s="46">
        <f>'Cost Worksheet'!$D$66</f>
        <v>17.5</v>
      </c>
      <c r="AA19" s="38">
        <f>-Z19*'Cost Worksheet'!$D$80*'Cost Worksheet'!D$10</f>
        <v>-350000</v>
      </c>
      <c r="AB19" s="38">
        <f>AA19*'Cost Worksheet'!$D$82</f>
        <v>-122499.99999999999</v>
      </c>
      <c r="AC19" s="38">
        <f>'Benefits Worksheet'!$D$9*'Cost Worksheet'!D$10</f>
        <v>2500000</v>
      </c>
      <c r="AD19" s="36">
        <f t="shared" si="0"/>
        <v>2027500</v>
      </c>
      <c r="AE19" s="16"/>
      <c r="AF19" s="20"/>
      <c r="AG19" s="16"/>
      <c r="AH19" s="36">
        <f>IF(A19&lt;='ROI Calculator'!$D$8,U19-AD19,0)</f>
        <v>0</v>
      </c>
    </row>
    <row r="20" spans="1:34">
      <c r="A20" s="6">
        <v>13</v>
      </c>
      <c r="B20" s="45"/>
      <c r="C20" s="52"/>
      <c r="D20" s="52"/>
      <c r="E20" s="52"/>
      <c r="F20" s="52"/>
      <c r="G20" s="53"/>
      <c r="H20" s="37">
        <f>'Cost Worksheet'!$D$66</f>
        <v>17.5</v>
      </c>
      <c r="I20" s="64">
        <f>'Cost Worksheet'!$D$80*'Cost Worksheet'!D$10</f>
        <v>20000</v>
      </c>
      <c r="J20" s="38">
        <f t="shared" si="1"/>
        <v>-350000</v>
      </c>
      <c r="K20" s="38">
        <f>IF($A20&gt;='Cost Worksheet'!$D$84,Calculations!J20*'Cost Worksheet'!$D$82,0)</f>
        <v>-122499.99999999999</v>
      </c>
      <c r="L20" s="60">
        <f>-'Cost Worksheet'!$D$17</f>
        <v>-5000</v>
      </c>
      <c r="M20" s="64">
        <f>'Cost Worksheet'!$D$73*'Cost Worksheet'!D$10</f>
        <v>20000</v>
      </c>
      <c r="N20" s="38">
        <f>'Benefits Worksheet'!$D$9*M20/'Cost Worksheet'!$D$80</f>
        <v>2500000</v>
      </c>
      <c r="O20" s="48">
        <f>'Benefits Worksheet'!$D$22*I20*'Cost Worksheet'!D$10/'Cost Worksheet'!$D$80</f>
        <v>240000</v>
      </c>
      <c r="P20" s="48">
        <f>'Benefits Worksheet'!$D$24*I20*'Cost Worksheet'!D$10/'Cost Worksheet'!$D$80</f>
        <v>200000</v>
      </c>
      <c r="Q20" s="48">
        <f>'Benefits Worksheet'!$D$26*I20*'Cost Worksheet'!D$10/'Cost Worksheet'!$D$80</f>
        <v>0</v>
      </c>
      <c r="R20" s="48">
        <f>'Benefits Worksheet'!$D$28*I20*'Cost Worksheet'!D$10/'Cost Worksheet'!$D$80</f>
        <v>0</v>
      </c>
      <c r="S20" s="48">
        <f>'Benefits Worksheet'!$D$33*I20*'Cost Worksheet'!D$10/'Cost Worksheet'!$D$80</f>
        <v>0</v>
      </c>
      <c r="T20" s="48">
        <f>'Benefits Worksheet'!$D$35*I20*'Cost Worksheet'!D$10/'Cost Worksheet'!$D$80</f>
        <v>0</v>
      </c>
      <c r="U20" s="89">
        <f t="shared" si="2"/>
        <v>2482500</v>
      </c>
      <c r="V20" s="16"/>
      <c r="X20" s="16"/>
      <c r="Y20" s="38"/>
      <c r="Z20" s="46">
        <f>'Cost Worksheet'!$D$66</f>
        <v>17.5</v>
      </c>
      <c r="AA20" s="38">
        <f>-Z20*'Cost Worksheet'!$D$80*'Cost Worksheet'!D$10</f>
        <v>-350000</v>
      </c>
      <c r="AB20" s="38">
        <f>AA20*'Cost Worksheet'!$D$82</f>
        <v>-122499.99999999999</v>
      </c>
      <c r="AC20" s="38">
        <f>'Benefits Worksheet'!$D$9*'Cost Worksheet'!D$10</f>
        <v>2500000</v>
      </c>
      <c r="AD20" s="36">
        <f t="shared" si="0"/>
        <v>2027500</v>
      </c>
      <c r="AE20" s="16"/>
      <c r="AF20" s="20"/>
      <c r="AG20" s="16"/>
      <c r="AH20" s="36">
        <f>IF(A20&lt;='ROI Calculator'!$D$8,U20-AD20,0)</f>
        <v>0</v>
      </c>
    </row>
    <row r="21" spans="1:34">
      <c r="A21" s="6">
        <v>14</v>
      </c>
      <c r="B21" s="45"/>
      <c r="C21" s="52"/>
      <c r="D21" s="52"/>
      <c r="E21" s="52"/>
      <c r="F21" s="52"/>
      <c r="G21" s="53"/>
      <c r="H21" s="37">
        <f>'Cost Worksheet'!$D$66</f>
        <v>17.5</v>
      </c>
      <c r="I21" s="64">
        <f>'Cost Worksheet'!$D$80*'Cost Worksheet'!D$10</f>
        <v>20000</v>
      </c>
      <c r="J21" s="38">
        <f t="shared" si="1"/>
        <v>-350000</v>
      </c>
      <c r="K21" s="38">
        <f>IF($A21&gt;='Cost Worksheet'!$D$84,Calculations!J21*'Cost Worksheet'!$D$82,0)</f>
        <v>-122499.99999999999</v>
      </c>
      <c r="L21" s="60">
        <f>-'Cost Worksheet'!$D$17</f>
        <v>-5000</v>
      </c>
      <c r="M21" s="64">
        <f>'Cost Worksheet'!$D$73*'Cost Worksheet'!D$10</f>
        <v>20000</v>
      </c>
      <c r="N21" s="38">
        <f>'Benefits Worksheet'!$D$9*M21/'Cost Worksheet'!$D$80</f>
        <v>2500000</v>
      </c>
      <c r="O21" s="48">
        <f>'Benefits Worksheet'!$D$22*I21*'Cost Worksheet'!D$10/'Cost Worksheet'!$D$80</f>
        <v>240000</v>
      </c>
      <c r="P21" s="48">
        <f>'Benefits Worksheet'!$D$24*I21*'Cost Worksheet'!D$10/'Cost Worksheet'!$D$80</f>
        <v>200000</v>
      </c>
      <c r="Q21" s="48">
        <f>'Benefits Worksheet'!$D$26*I21*'Cost Worksheet'!D$10/'Cost Worksheet'!$D$80</f>
        <v>0</v>
      </c>
      <c r="R21" s="48">
        <f>'Benefits Worksheet'!$D$28*I21*'Cost Worksheet'!D$10/'Cost Worksheet'!$D$80</f>
        <v>0</v>
      </c>
      <c r="S21" s="48">
        <f>'Benefits Worksheet'!$D$33*I21*'Cost Worksheet'!D$10/'Cost Worksheet'!$D$80</f>
        <v>0</v>
      </c>
      <c r="T21" s="48">
        <f>'Benefits Worksheet'!$D$35*I21*'Cost Worksheet'!D$10/'Cost Worksheet'!$D$80</f>
        <v>0</v>
      </c>
      <c r="U21" s="89">
        <f t="shared" si="2"/>
        <v>2482500</v>
      </c>
      <c r="V21" s="16"/>
      <c r="X21" s="16"/>
      <c r="Y21" s="38"/>
      <c r="Z21" s="46">
        <f>'Cost Worksheet'!$D$66</f>
        <v>17.5</v>
      </c>
      <c r="AA21" s="38">
        <f>-Z21*'Cost Worksheet'!$D$80*'Cost Worksheet'!D$10</f>
        <v>-350000</v>
      </c>
      <c r="AB21" s="38">
        <f>AA21*'Cost Worksheet'!$D$82</f>
        <v>-122499.99999999999</v>
      </c>
      <c r="AC21" s="38">
        <f>'Benefits Worksheet'!$D$9*'Cost Worksheet'!D$10</f>
        <v>2500000</v>
      </c>
      <c r="AD21" s="36">
        <f t="shared" si="0"/>
        <v>2027500</v>
      </c>
      <c r="AE21" s="16"/>
      <c r="AF21" s="20"/>
      <c r="AG21" s="16"/>
      <c r="AH21" s="36">
        <f>IF(A21&lt;='ROI Calculator'!$D$8,U21-AD21,0)</f>
        <v>0</v>
      </c>
    </row>
    <row r="22" spans="1:34">
      <c r="A22" s="6">
        <v>15</v>
      </c>
      <c r="B22" s="45"/>
      <c r="C22" s="52"/>
      <c r="D22" s="52"/>
      <c r="E22" s="52"/>
      <c r="F22" s="52"/>
      <c r="G22" s="53"/>
      <c r="H22" s="37">
        <f>'Cost Worksheet'!$D$66</f>
        <v>17.5</v>
      </c>
      <c r="I22" s="64">
        <f>'Cost Worksheet'!$D$80*'Cost Worksheet'!D$10</f>
        <v>20000</v>
      </c>
      <c r="J22" s="38">
        <f t="shared" si="1"/>
        <v>-350000</v>
      </c>
      <c r="K22" s="38">
        <f>IF($A22&gt;='Cost Worksheet'!$D$84,Calculations!J22*'Cost Worksheet'!$D$82,0)</f>
        <v>-122499.99999999999</v>
      </c>
      <c r="L22" s="60">
        <f>-'Cost Worksheet'!$D$17</f>
        <v>-5000</v>
      </c>
      <c r="M22" s="64">
        <f>'Cost Worksheet'!$D$73*'Cost Worksheet'!D$10</f>
        <v>20000</v>
      </c>
      <c r="N22" s="38">
        <f>'Benefits Worksheet'!$D$9*M22/'Cost Worksheet'!$D$80</f>
        <v>2500000</v>
      </c>
      <c r="O22" s="48">
        <f>'Benefits Worksheet'!$D$22*I22*'Cost Worksheet'!D$10/'Cost Worksheet'!$D$80</f>
        <v>240000</v>
      </c>
      <c r="P22" s="48">
        <f>'Benefits Worksheet'!$D$24*I22*'Cost Worksheet'!D$10/'Cost Worksheet'!$D$80</f>
        <v>200000</v>
      </c>
      <c r="Q22" s="48">
        <f>'Benefits Worksheet'!$D$26*I22*'Cost Worksheet'!D$10/'Cost Worksheet'!$D$80</f>
        <v>0</v>
      </c>
      <c r="R22" s="48">
        <f>'Benefits Worksheet'!$D$28*I22*'Cost Worksheet'!D$10/'Cost Worksheet'!$D$80</f>
        <v>0</v>
      </c>
      <c r="S22" s="48">
        <f>'Benefits Worksheet'!$D$33*I22*'Cost Worksheet'!D$10/'Cost Worksheet'!$D$80</f>
        <v>0</v>
      </c>
      <c r="T22" s="48">
        <f>'Benefits Worksheet'!$D$35*I22*'Cost Worksheet'!D$10/'Cost Worksheet'!$D$80</f>
        <v>0</v>
      </c>
      <c r="U22" s="89">
        <f t="shared" si="2"/>
        <v>2482500</v>
      </c>
      <c r="V22" s="16"/>
      <c r="X22" s="16"/>
      <c r="Y22" s="38"/>
      <c r="Z22" s="46">
        <f>'Cost Worksheet'!$D$66</f>
        <v>17.5</v>
      </c>
      <c r="AA22" s="38">
        <f>-Z22*'Cost Worksheet'!$D$80*'Cost Worksheet'!D$10</f>
        <v>-350000</v>
      </c>
      <c r="AB22" s="38">
        <f>AA22*'Cost Worksheet'!$D$82</f>
        <v>-122499.99999999999</v>
      </c>
      <c r="AC22" s="38">
        <f>'Benefits Worksheet'!$D$9*'Cost Worksheet'!D$10</f>
        <v>2500000</v>
      </c>
      <c r="AD22" s="36">
        <f t="shared" si="0"/>
        <v>2027500</v>
      </c>
      <c r="AE22" s="16"/>
      <c r="AF22" s="20"/>
      <c r="AG22" s="16"/>
      <c r="AH22" s="36">
        <f>IF(A22&lt;='ROI Calculator'!$D$8,U22-AD22,0)</f>
        <v>0</v>
      </c>
    </row>
    <row r="23" spans="1:34">
      <c r="A23" s="6">
        <v>16</v>
      </c>
      <c r="B23" s="45"/>
      <c r="C23" s="52"/>
      <c r="D23" s="52"/>
      <c r="E23" s="52"/>
      <c r="F23" s="52"/>
      <c r="G23" s="53"/>
      <c r="H23" s="37">
        <f>'Cost Worksheet'!$D$66</f>
        <v>17.5</v>
      </c>
      <c r="I23" s="64">
        <f>'Cost Worksheet'!$D$80*'Cost Worksheet'!D$10</f>
        <v>20000</v>
      </c>
      <c r="J23" s="38">
        <f t="shared" si="1"/>
        <v>-350000</v>
      </c>
      <c r="K23" s="38">
        <f>IF($A23&gt;='Cost Worksheet'!$D$84,Calculations!J23*'Cost Worksheet'!$D$82,0)</f>
        <v>-122499.99999999999</v>
      </c>
      <c r="L23" s="60">
        <f>-'Cost Worksheet'!$D$17</f>
        <v>-5000</v>
      </c>
      <c r="M23" s="64">
        <f>'Cost Worksheet'!$D$73*'Cost Worksheet'!D$10</f>
        <v>20000</v>
      </c>
      <c r="N23" s="38">
        <f>'Benefits Worksheet'!$D$9*M23/'Cost Worksheet'!$D$80</f>
        <v>2500000</v>
      </c>
      <c r="O23" s="48">
        <f>'Benefits Worksheet'!$D$22*I23*'Cost Worksheet'!D$10/'Cost Worksheet'!$D$80</f>
        <v>240000</v>
      </c>
      <c r="P23" s="48">
        <f>'Benefits Worksheet'!$D$24*I23*'Cost Worksheet'!D$10/'Cost Worksheet'!$D$80</f>
        <v>200000</v>
      </c>
      <c r="Q23" s="48">
        <f>'Benefits Worksheet'!$D$26*I23*'Cost Worksheet'!D$10/'Cost Worksheet'!$D$80</f>
        <v>0</v>
      </c>
      <c r="R23" s="48">
        <f>'Benefits Worksheet'!$D$28*I23*'Cost Worksheet'!D$10/'Cost Worksheet'!$D$80</f>
        <v>0</v>
      </c>
      <c r="S23" s="48">
        <f>'Benefits Worksheet'!$D$33*I23*'Cost Worksheet'!D$10/'Cost Worksheet'!$D$80</f>
        <v>0</v>
      </c>
      <c r="T23" s="48">
        <f>'Benefits Worksheet'!$D$35*I23*'Cost Worksheet'!D$10/'Cost Worksheet'!$D$80</f>
        <v>0</v>
      </c>
      <c r="U23" s="89">
        <f t="shared" si="2"/>
        <v>2482500</v>
      </c>
      <c r="V23" s="16"/>
      <c r="X23" s="16"/>
      <c r="Y23" s="38"/>
      <c r="Z23" s="46">
        <f>'Cost Worksheet'!$D$66</f>
        <v>17.5</v>
      </c>
      <c r="AA23" s="38">
        <f>-Z23*'Cost Worksheet'!$D$80*'Cost Worksheet'!D$10</f>
        <v>-350000</v>
      </c>
      <c r="AB23" s="38">
        <f>AA23*'Cost Worksheet'!$D$82</f>
        <v>-122499.99999999999</v>
      </c>
      <c r="AC23" s="38">
        <f>'Benefits Worksheet'!$D$9*'Cost Worksheet'!D$10</f>
        <v>2500000</v>
      </c>
      <c r="AD23" s="36">
        <f t="shared" si="0"/>
        <v>2027500</v>
      </c>
      <c r="AE23" s="16"/>
      <c r="AF23" s="20"/>
      <c r="AG23" s="16"/>
      <c r="AH23" s="36">
        <f>IF(A23&lt;='ROI Calculator'!$D$8,U23-AD23,0)</f>
        <v>0</v>
      </c>
    </row>
    <row r="24" spans="1:34">
      <c r="A24" s="6">
        <v>17</v>
      </c>
      <c r="B24" s="45"/>
      <c r="C24" s="52"/>
      <c r="D24" s="52"/>
      <c r="E24" s="52"/>
      <c r="F24" s="52"/>
      <c r="G24" s="53"/>
      <c r="H24" s="37">
        <f>'Cost Worksheet'!$D$66</f>
        <v>17.5</v>
      </c>
      <c r="I24" s="64">
        <f>'Cost Worksheet'!$D$80*'Cost Worksheet'!D$10</f>
        <v>20000</v>
      </c>
      <c r="J24" s="38">
        <f t="shared" si="1"/>
        <v>-350000</v>
      </c>
      <c r="K24" s="38">
        <f>IF($A24&gt;='Cost Worksheet'!$D$84,Calculations!J24*'Cost Worksheet'!$D$82,0)</f>
        <v>-122499.99999999999</v>
      </c>
      <c r="L24" s="60">
        <f>-'Cost Worksheet'!$D$17</f>
        <v>-5000</v>
      </c>
      <c r="M24" s="64">
        <f>'Cost Worksheet'!$D$73*'Cost Worksheet'!D$10</f>
        <v>20000</v>
      </c>
      <c r="N24" s="38">
        <f>'Benefits Worksheet'!$D$9*M24/'Cost Worksheet'!$D$80</f>
        <v>2500000</v>
      </c>
      <c r="O24" s="48">
        <f>'Benefits Worksheet'!$D$22*I24*'Cost Worksheet'!D$10/'Cost Worksheet'!$D$80</f>
        <v>240000</v>
      </c>
      <c r="P24" s="48">
        <f>'Benefits Worksheet'!$D$24*I24*'Cost Worksheet'!D$10/'Cost Worksheet'!$D$80</f>
        <v>200000</v>
      </c>
      <c r="Q24" s="48">
        <f>'Benefits Worksheet'!$D$26*I24*'Cost Worksheet'!D$10/'Cost Worksheet'!$D$80</f>
        <v>0</v>
      </c>
      <c r="R24" s="48">
        <f>'Benefits Worksheet'!$D$28*I24*'Cost Worksheet'!D$10/'Cost Worksheet'!$D$80</f>
        <v>0</v>
      </c>
      <c r="S24" s="48">
        <f>'Benefits Worksheet'!$D$33*I24*'Cost Worksheet'!D$10/'Cost Worksheet'!$D$80</f>
        <v>0</v>
      </c>
      <c r="T24" s="48">
        <f>'Benefits Worksheet'!$D$35*I24*'Cost Worksheet'!D$10/'Cost Worksheet'!$D$80</f>
        <v>0</v>
      </c>
      <c r="U24" s="89">
        <f t="shared" si="2"/>
        <v>2482500</v>
      </c>
      <c r="V24" s="16"/>
      <c r="X24" s="16"/>
      <c r="Y24" s="38"/>
      <c r="Z24" s="46">
        <f>'Cost Worksheet'!$D$66</f>
        <v>17.5</v>
      </c>
      <c r="AA24" s="38">
        <f>-Z24*'Cost Worksheet'!$D$80*'Cost Worksheet'!D$10</f>
        <v>-350000</v>
      </c>
      <c r="AB24" s="38">
        <f>AA24*'Cost Worksheet'!$D$82</f>
        <v>-122499.99999999999</v>
      </c>
      <c r="AC24" s="38">
        <f>'Benefits Worksheet'!$D$9*'Cost Worksheet'!D$10</f>
        <v>2500000</v>
      </c>
      <c r="AD24" s="36">
        <f t="shared" si="0"/>
        <v>2027500</v>
      </c>
      <c r="AE24" s="16"/>
      <c r="AF24" s="20"/>
      <c r="AG24" s="16"/>
      <c r="AH24" s="36">
        <f>IF(A24&lt;='ROI Calculator'!$D$8,U24-AD24,0)</f>
        <v>0</v>
      </c>
    </row>
    <row r="25" spans="1:34">
      <c r="A25" s="6">
        <v>18</v>
      </c>
      <c r="B25" s="45"/>
      <c r="C25" s="52"/>
      <c r="D25" s="52"/>
      <c r="E25" s="52"/>
      <c r="F25" s="52"/>
      <c r="G25" s="53"/>
      <c r="H25" s="37">
        <f>'Cost Worksheet'!$D$66</f>
        <v>17.5</v>
      </c>
      <c r="I25" s="64">
        <f>'Cost Worksheet'!$D$80*'Cost Worksheet'!D$10</f>
        <v>20000</v>
      </c>
      <c r="J25" s="38">
        <f t="shared" si="1"/>
        <v>-350000</v>
      </c>
      <c r="K25" s="38">
        <f>IF($A25&gt;='Cost Worksheet'!$D$84,Calculations!J25*'Cost Worksheet'!$D$82,0)</f>
        <v>-122499.99999999999</v>
      </c>
      <c r="L25" s="60">
        <f>-'Cost Worksheet'!$D$17</f>
        <v>-5000</v>
      </c>
      <c r="M25" s="64">
        <f>'Cost Worksheet'!$D$73*'Cost Worksheet'!D$10</f>
        <v>20000</v>
      </c>
      <c r="N25" s="38">
        <f>'Benefits Worksheet'!$D$9*M25/'Cost Worksheet'!$D$80</f>
        <v>2500000</v>
      </c>
      <c r="O25" s="48">
        <f>'Benefits Worksheet'!$D$22*I25*'Cost Worksheet'!D$10/'Cost Worksheet'!$D$80</f>
        <v>240000</v>
      </c>
      <c r="P25" s="48">
        <f>'Benefits Worksheet'!$D$24*I25*'Cost Worksheet'!D$10/'Cost Worksheet'!$D$80</f>
        <v>200000</v>
      </c>
      <c r="Q25" s="48">
        <f>'Benefits Worksheet'!$D$26*I25*'Cost Worksheet'!D$10/'Cost Worksheet'!$D$80</f>
        <v>0</v>
      </c>
      <c r="R25" s="48">
        <f>'Benefits Worksheet'!$D$28*I25*'Cost Worksheet'!D$10/'Cost Worksheet'!$D$80</f>
        <v>0</v>
      </c>
      <c r="S25" s="48">
        <f>'Benefits Worksheet'!$D$33*I25*'Cost Worksheet'!D$10/'Cost Worksheet'!$D$80</f>
        <v>0</v>
      </c>
      <c r="T25" s="48">
        <f>'Benefits Worksheet'!$D$35*I25*'Cost Worksheet'!D$10/'Cost Worksheet'!$D$80</f>
        <v>0</v>
      </c>
      <c r="U25" s="89">
        <f t="shared" si="2"/>
        <v>2482500</v>
      </c>
      <c r="V25" s="16"/>
      <c r="X25" s="16"/>
      <c r="Y25" s="38"/>
      <c r="Z25" s="46">
        <f>'Cost Worksheet'!$D$66</f>
        <v>17.5</v>
      </c>
      <c r="AA25" s="38">
        <f>-Z25*'Cost Worksheet'!$D$80*'Cost Worksheet'!D$10</f>
        <v>-350000</v>
      </c>
      <c r="AB25" s="38">
        <f>AA25*'Cost Worksheet'!$D$82</f>
        <v>-122499.99999999999</v>
      </c>
      <c r="AC25" s="38">
        <f>'Benefits Worksheet'!$D$9*'Cost Worksheet'!D$10</f>
        <v>2500000</v>
      </c>
      <c r="AD25" s="36">
        <f t="shared" si="0"/>
        <v>2027500</v>
      </c>
      <c r="AE25" s="16"/>
      <c r="AF25" s="20"/>
      <c r="AG25" s="16"/>
      <c r="AH25" s="36">
        <f>IF(A25&lt;='ROI Calculator'!$D$8,U25-AD25,0)</f>
        <v>0</v>
      </c>
    </row>
    <row r="26" spans="1:34">
      <c r="A26" s="6">
        <v>19</v>
      </c>
      <c r="B26" s="45"/>
      <c r="C26" s="52"/>
      <c r="D26" s="52"/>
      <c r="E26" s="52"/>
      <c r="F26" s="52"/>
      <c r="G26" s="53"/>
      <c r="H26" s="37">
        <f>'Cost Worksheet'!$D$66</f>
        <v>17.5</v>
      </c>
      <c r="I26" s="64">
        <f>'Cost Worksheet'!$D$80*'Cost Worksheet'!D$10</f>
        <v>20000</v>
      </c>
      <c r="J26" s="38">
        <f t="shared" si="1"/>
        <v>-350000</v>
      </c>
      <c r="K26" s="38">
        <f>IF($A26&gt;='Cost Worksheet'!$D$84,Calculations!J26*'Cost Worksheet'!$D$82,0)</f>
        <v>-122499.99999999999</v>
      </c>
      <c r="L26" s="60">
        <f>-'Cost Worksheet'!$D$17</f>
        <v>-5000</v>
      </c>
      <c r="M26" s="64">
        <f>'Cost Worksheet'!$D$73*'Cost Worksheet'!D$10</f>
        <v>20000</v>
      </c>
      <c r="N26" s="38">
        <f>'Benefits Worksheet'!$D$9*M26/'Cost Worksheet'!$D$80</f>
        <v>2500000</v>
      </c>
      <c r="O26" s="48">
        <f>'Benefits Worksheet'!$D$22*I26*'Cost Worksheet'!D$10/'Cost Worksheet'!$D$80</f>
        <v>240000</v>
      </c>
      <c r="P26" s="48">
        <f>'Benefits Worksheet'!$D$24*I26*'Cost Worksheet'!D$10/'Cost Worksheet'!$D$80</f>
        <v>200000</v>
      </c>
      <c r="Q26" s="48">
        <f>'Benefits Worksheet'!$D$26*I26*'Cost Worksheet'!D$10/'Cost Worksheet'!$D$80</f>
        <v>0</v>
      </c>
      <c r="R26" s="48">
        <f>'Benefits Worksheet'!$D$28*I26*'Cost Worksheet'!D$10/'Cost Worksheet'!$D$80</f>
        <v>0</v>
      </c>
      <c r="S26" s="48">
        <f>'Benefits Worksheet'!$D$33*I26*'Cost Worksheet'!D$10/'Cost Worksheet'!$D$80</f>
        <v>0</v>
      </c>
      <c r="T26" s="48">
        <f>'Benefits Worksheet'!$D$35*I26*'Cost Worksheet'!D$10/'Cost Worksheet'!$D$80</f>
        <v>0</v>
      </c>
      <c r="U26" s="89">
        <f t="shared" si="2"/>
        <v>2482500</v>
      </c>
      <c r="V26" s="16"/>
      <c r="X26" s="16"/>
      <c r="Y26" s="38"/>
      <c r="Z26" s="46">
        <f>'Cost Worksheet'!$D$66</f>
        <v>17.5</v>
      </c>
      <c r="AA26" s="38">
        <f>-Z26*'Cost Worksheet'!$D$80*'Cost Worksheet'!D$10</f>
        <v>-350000</v>
      </c>
      <c r="AB26" s="38">
        <f>AA26*'Cost Worksheet'!$D$82</f>
        <v>-122499.99999999999</v>
      </c>
      <c r="AC26" s="38">
        <f>'Benefits Worksheet'!$D$9*'Cost Worksheet'!D$10</f>
        <v>2500000</v>
      </c>
      <c r="AD26" s="36">
        <f t="shared" si="0"/>
        <v>2027500</v>
      </c>
      <c r="AE26" s="16"/>
      <c r="AF26" s="20"/>
      <c r="AG26" s="16"/>
      <c r="AH26" s="36">
        <f>IF(A26&lt;='ROI Calculator'!$D$8,U26-AD26,0)</f>
        <v>0</v>
      </c>
    </row>
    <row r="27" spans="1:34">
      <c r="A27" s="6">
        <v>20</v>
      </c>
      <c r="B27" s="45"/>
      <c r="C27" s="52"/>
      <c r="D27" s="52"/>
      <c r="E27" s="52"/>
      <c r="F27" s="52"/>
      <c r="G27" s="53"/>
      <c r="H27" s="37">
        <f>'Cost Worksheet'!$D$66</f>
        <v>17.5</v>
      </c>
      <c r="I27" s="64">
        <f>'Cost Worksheet'!$D$80*'Cost Worksheet'!D$10</f>
        <v>20000</v>
      </c>
      <c r="J27" s="38">
        <f t="shared" si="1"/>
        <v>-350000</v>
      </c>
      <c r="K27" s="38">
        <f>IF($A27&gt;='Cost Worksheet'!$D$84,Calculations!J27*'Cost Worksheet'!$D$82,0)</f>
        <v>-122499.99999999999</v>
      </c>
      <c r="L27" s="60">
        <f>-'Cost Worksheet'!$D$17</f>
        <v>-5000</v>
      </c>
      <c r="M27" s="64">
        <f>'Cost Worksheet'!$D$73*'Cost Worksheet'!D$10</f>
        <v>20000</v>
      </c>
      <c r="N27" s="38">
        <f>'Benefits Worksheet'!$D$9*M27/'Cost Worksheet'!$D$80</f>
        <v>2500000</v>
      </c>
      <c r="O27" s="48">
        <f>'Benefits Worksheet'!$D$22*I27*'Cost Worksheet'!D$10/'Cost Worksheet'!$D$80</f>
        <v>240000</v>
      </c>
      <c r="P27" s="48">
        <f>'Benefits Worksheet'!$D$24*I27*'Cost Worksheet'!D$10/'Cost Worksheet'!$D$80</f>
        <v>200000</v>
      </c>
      <c r="Q27" s="48">
        <f>'Benefits Worksheet'!$D$26*I27*'Cost Worksheet'!D$10/'Cost Worksheet'!$D$80</f>
        <v>0</v>
      </c>
      <c r="R27" s="48">
        <f>'Benefits Worksheet'!$D$28*I27*'Cost Worksheet'!D$10/'Cost Worksheet'!$D$80</f>
        <v>0</v>
      </c>
      <c r="S27" s="48">
        <f>'Benefits Worksheet'!$D$33*I27*'Cost Worksheet'!D$10/'Cost Worksheet'!$D$80</f>
        <v>0</v>
      </c>
      <c r="T27" s="48">
        <f>'Benefits Worksheet'!$D$35*I27*'Cost Worksheet'!D$10/'Cost Worksheet'!$D$80</f>
        <v>0</v>
      </c>
      <c r="U27" s="89">
        <f t="shared" si="2"/>
        <v>2482500</v>
      </c>
      <c r="V27" s="16"/>
      <c r="X27" s="16"/>
      <c r="Y27" s="38"/>
      <c r="Z27" s="46">
        <f>'Cost Worksheet'!$D$66</f>
        <v>17.5</v>
      </c>
      <c r="AA27" s="38">
        <f>-Z27*'Cost Worksheet'!$D$80*'Cost Worksheet'!D$10</f>
        <v>-350000</v>
      </c>
      <c r="AB27" s="38">
        <f>AA27*'Cost Worksheet'!$D$82</f>
        <v>-122499.99999999999</v>
      </c>
      <c r="AC27" s="38">
        <f>'Benefits Worksheet'!$D$9*'Cost Worksheet'!D$10</f>
        <v>2500000</v>
      </c>
      <c r="AD27" s="36">
        <f t="shared" si="0"/>
        <v>2027500</v>
      </c>
      <c r="AE27" s="16"/>
      <c r="AF27" s="20"/>
      <c r="AG27" s="16"/>
      <c r="AH27" s="36">
        <f>IF(A27&lt;='ROI Calculator'!$D$8,U27-AD27,0)</f>
        <v>0</v>
      </c>
    </row>
    <row r="28" spans="1:34">
      <c r="A28" s="6">
        <v>21</v>
      </c>
      <c r="B28" s="45"/>
      <c r="C28" s="52"/>
      <c r="D28" s="52"/>
      <c r="E28" s="52"/>
      <c r="F28" s="52"/>
      <c r="G28" s="53"/>
      <c r="H28" s="37">
        <f>'Cost Worksheet'!$D$66</f>
        <v>17.5</v>
      </c>
      <c r="I28" s="64">
        <f>'Cost Worksheet'!$D$80*'Cost Worksheet'!D$10</f>
        <v>20000</v>
      </c>
      <c r="J28" s="38">
        <f t="shared" si="1"/>
        <v>-350000</v>
      </c>
      <c r="K28" s="38">
        <f>IF($A28&gt;='Cost Worksheet'!$D$84,Calculations!J28*'Cost Worksheet'!$D$82,0)</f>
        <v>-122499.99999999999</v>
      </c>
      <c r="L28" s="60">
        <f>-'Cost Worksheet'!$D$17</f>
        <v>-5000</v>
      </c>
      <c r="M28" s="64">
        <f>'Cost Worksheet'!$D$73*'Cost Worksheet'!D$10</f>
        <v>20000</v>
      </c>
      <c r="N28" s="38">
        <f>'Benefits Worksheet'!$D$9*M28/'Cost Worksheet'!$D$80</f>
        <v>2500000</v>
      </c>
      <c r="O28" s="48">
        <f>'Benefits Worksheet'!$D$22*I28*'Cost Worksheet'!D$10/'Cost Worksheet'!$D$80</f>
        <v>240000</v>
      </c>
      <c r="P28" s="48">
        <f>'Benefits Worksheet'!$D$24*I28*'Cost Worksheet'!D$10/'Cost Worksheet'!$D$80</f>
        <v>200000</v>
      </c>
      <c r="Q28" s="48">
        <f>'Benefits Worksheet'!$D$26*I28*'Cost Worksheet'!D$10/'Cost Worksheet'!$D$80</f>
        <v>0</v>
      </c>
      <c r="R28" s="48">
        <f>'Benefits Worksheet'!$D$28*I28*'Cost Worksheet'!D$10/'Cost Worksheet'!$D$80</f>
        <v>0</v>
      </c>
      <c r="S28" s="48">
        <f>'Benefits Worksheet'!$D$33*I28*'Cost Worksheet'!D$10/'Cost Worksheet'!$D$80</f>
        <v>0</v>
      </c>
      <c r="T28" s="48">
        <f>'Benefits Worksheet'!$D$35*I28*'Cost Worksheet'!D$10/'Cost Worksheet'!$D$80</f>
        <v>0</v>
      </c>
      <c r="U28" s="89">
        <f t="shared" si="2"/>
        <v>2482500</v>
      </c>
      <c r="V28" s="16"/>
      <c r="X28" s="16"/>
      <c r="Y28" s="38"/>
      <c r="Z28" s="46">
        <f>'Cost Worksheet'!$D$66</f>
        <v>17.5</v>
      </c>
      <c r="AA28" s="38">
        <f>-Z28*'Cost Worksheet'!$D$80*'Cost Worksheet'!D$10</f>
        <v>-350000</v>
      </c>
      <c r="AB28" s="38">
        <f>AA28*'Cost Worksheet'!$D$82</f>
        <v>-122499.99999999999</v>
      </c>
      <c r="AC28" s="38">
        <f>'Benefits Worksheet'!$D$9*'Cost Worksheet'!D$10</f>
        <v>2500000</v>
      </c>
      <c r="AD28" s="36">
        <f t="shared" si="0"/>
        <v>2027500</v>
      </c>
      <c r="AE28" s="16"/>
      <c r="AF28" s="20"/>
      <c r="AG28" s="16"/>
      <c r="AH28" s="36">
        <f>IF(A28&lt;='ROI Calculator'!$D$8,U28-AD28,0)</f>
        <v>0</v>
      </c>
    </row>
    <row r="29" spans="1:34">
      <c r="A29" s="6">
        <v>22</v>
      </c>
      <c r="B29" s="45"/>
      <c r="C29" s="52"/>
      <c r="D29" s="52"/>
      <c r="E29" s="52"/>
      <c r="F29" s="52"/>
      <c r="G29" s="53"/>
      <c r="H29" s="37">
        <f>'Cost Worksheet'!$D$66</f>
        <v>17.5</v>
      </c>
      <c r="I29" s="64">
        <f>'Cost Worksheet'!$D$80*'Cost Worksheet'!D$10</f>
        <v>20000</v>
      </c>
      <c r="J29" s="38">
        <f t="shared" si="1"/>
        <v>-350000</v>
      </c>
      <c r="K29" s="38">
        <f>IF($A29&gt;='Cost Worksheet'!$D$84,Calculations!J29*'Cost Worksheet'!$D$82,0)</f>
        <v>-122499.99999999999</v>
      </c>
      <c r="L29" s="60">
        <f>-'Cost Worksheet'!$D$17</f>
        <v>-5000</v>
      </c>
      <c r="M29" s="64">
        <f>'Cost Worksheet'!$D$73*'Cost Worksheet'!D$10</f>
        <v>20000</v>
      </c>
      <c r="N29" s="38">
        <f>'Benefits Worksheet'!$D$9*M29/'Cost Worksheet'!$D$80</f>
        <v>2500000</v>
      </c>
      <c r="O29" s="48">
        <f>'Benefits Worksheet'!$D$22*I29*'Cost Worksheet'!D$10/'Cost Worksheet'!$D$80</f>
        <v>240000</v>
      </c>
      <c r="P29" s="48">
        <f>'Benefits Worksheet'!$D$24*I29*'Cost Worksheet'!D$10/'Cost Worksheet'!$D$80</f>
        <v>200000</v>
      </c>
      <c r="Q29" s="48">
        <f>'Benefits Worksheet'!$D$26*I29*'Cost Worksheet'!D$10/'Cost Worksheet'!$D$80</f>
        <v>0</v>
      </c>
      <c r="R29" s="48">
        <f>'Benefits Worksheet'!$D$28*I29*'Cost Worksheet'!D$10/'Cost Worksheet'!$D$80</f>
        <v>0</v>
      </c>
      <c r="S29" s="48">
        <f>'Benefits Worksheet'!$D$33*I29*'Cost Worksheet'!D$10/'Cost Worksheet'!$D$80</f>
        <v>0</v>
      </c>
      <c r="T29" s="48">
        <f>'Benefits Worksheet'!$D$35*I29*'Cost Worksheet'!D$10/'Cost Worksheet'!$D$80</f>
        <v>0</v>
      </c>
      <c r="U29" s="89">
        <f t="shared" si="2"/>
        <v>2482500</v>
      </c>
      <c r="V29" s="16"/>
      <c r="X29" s="16"/>
      <c r="Y29" s="38"/>
      <c r="Z29" s="46">
        <f>'Cost Worksheet'!$D$66</f>
        <v>17.5</v>
      </c>
      <c r="AA29" s="38">
        <f>-Z29*'Cost Worksheet'!$D$80*'Cost Worksheet'!D$10</f>
        <v>-350000</v>
      </c>
      <c r="AB29" s="38">
        <f>AA29*'Cost Worksheet'!$D$82</f>
        <v>-122499.99999999999</v>
      </c>
      <c r="AC29" s="38">
        <f>'Benefits Worksheet'!$D$9*'Cost Worksheet'!D$10</f>
        <v>2500000</v>
      </c>
      <c r="AD29" s="36">
        <f t="shared" si="0"/>
        <v>2027500</v>
      </c>
      <c r="AE29" s="16"/>
      <c r="AF29" s="20"/>
      <c r="AG29" s="16"/>
      <c r="AH29" s="36">
        <f>IF(A29&lt;='ROI Calculator'!$D$8,U29-AD29,0)</f>
        <v>0</v>
      </c>
    </row>
    <row r="30" spans="1:34">
      <c r="A30" s="6">
        <v>23</v>
      </c>
      <c r="B30" s="45"/>
      <c r="C30" s="52"/>
      <c r="D30" s="52"/>
      <c r="E30" s="52"/>
      <c r="F30" s="52"/>
      <c r="G30" s="53"/>
      <c r="H30" s="37">
        <f>'Cost Worksheet'!$D$66</f>
        <v>17.5</v>
      </c>
      <c r="I30" s="64">
        <f>'Cost Worksheet'!$D$80*'Cost Worksheet'!D$10</f>
        <v>20000</v>
      </c>
      <c r="J30" s="38">
        <f t="shared" si="1"/>
        <v>-350000</v>
      </c>
      <c r="K30" s="38">
        <f>IF($A30&gt;='Cost Worksheet'!$D$84,Calculations!J30*'Cost Worksheet'!$D$82,0)</f>
        <v>-122499.99999999999</v>
      </c>
      <c r="L30" s="60">
        <f>-'Cost Worksheet'!$D$17</f>
        <v>-5000</v>
      </c>
      <c r="M30" s="64">
        <f>'Cost Worksheet'!$D$73*'Cost Worksheet'!D$10</f>
        <v>20000</v>
      </c>
      <c r="N30" s="38">
        <f>'Benefits Worksheet'!$D$9*M30/'Cost Worksheet'!$D$80</f>
        <v>2500000</v>
      </c>
      <c r="O30" s="48">
        <f>'Benefits Worksheet'!$D$22*I30*'Cost Worksheet'!D$10/'Cost Worksheet'!$D$80</f>
        <v>240000</v>
      </c>
      <c r="P30" s="48">
        <f>'Benefits Worksheet'!$D$24*I30*'Cost Worksheet'!D$10/'Cost Worksheet'!$D$80</f>
        <v>200000</v>
      </c>
      <c r="Q30" s="48">
        <f>'Benefits Worksheet'!$D$26*I30*'Cost Worksheet'!D$10/'Cost Worksheet'!$D$80</f>
        <v>0</v>
      </c>
      <c r="R30" s="48">
        <f>'Benefits Worksheet'!$D$28*I30*'Cost Worksheet'!D$10/'Cost Worksheet'!$D$80</f>
        <v>0</v>
      </c>
      <c r="S30" s="48">
        <f>'Benefits Worksheet'!$D$33*I30*'Cost Worksheet'!D$10/'Cost Worksheet'!$D$80</f>
        <v>0</v>
      </c>
      <c r="T30" s="48">
        <f>'Benefits Worksheet'!$D$35*I30*'Cost Worksheet'!D$10/'Cost Worksheet'!$D$80</f>
        <v>0</v>
      </c>
      <c r="U30" s="89">
        <f t="shared" si="2"/>
        <v>2482500</v>
      </c>
      <c r="V30" s="16"/>
      <c r="X30" s="16"/>
      <c r="Y30" s="38"/>
      <c r="Z30" s="46">
        <f>'Cost Worksheet'!$D$66</f>
        <v>17.5</v>
      </c>
      <c r="AA30" s="38">
        <f>-Z30*'Cost Worksheet'!$D$80*'Cost Worksheet'!D$10</f>
        <v>-350000</v>
      </c>
      <c r="AB30" s="38">
        <f>AA30*'Cost Worksheet'!$D$82</f>
        <v>-122499.99999999999</v>
      </c>
      <c r="AC30" s="38">
        <f>'Benefits Worksheet'!$D$9*'Cost Worksheet'!D$10</f>
        <v>2500000</v>
      </c>
      <c r="AD30" s="36">
        <f t="shared" si="0"/>
        <v>2027500</v>
      </c>
      <c r="AE30" s="16"/>
      <c r="AF30" s="20"/>
      <c r="AG30" s="16"/>
      <c r="AH30" s="36">
        <f>IF(A30&lt;='ROI Calculator'!$D$8,U30-AD30,0)</f>
        <v>0</v>
      </c>
    </row>
    <row r="31" spans="1:34">
      <c r="A31" s="6">
        <v>24</v>
      </c>
      <c r="B31" s="45"/>
      <c r="C31" s="52"/>
      <c r="D31" s="52"/>
      <c r="E31" s="52"/>
      <c r="F31" s="52"/>
      <c r="G31" s="53"/>
      <c r="H31" s="37">
        <f>'Cost Worksheet'!$D$66</f>
        <v>17.5</v>
      </c>
      <c r="I31" s="64">
        <f>'Cost Worksheet'!$D$80*'Cost Worksheet'!D$10</f>
        <v>20000</v>
      </c>
      <c r="J31" s="38">
        <f t="shared" si="1"/>
        <v>-350000</v>
      </c>
      <c r="K31" s="38">
        <f>IF($A31&gt;='Cost Worksheet'!$D$84,Calculations!J31*'Cost Worksheet'!$D$82,0)</f>
        <v>-122499.99999999999</v>
      </c>
      <c r="L31" s="60">
        <f>-'Cost Worksheet'!$D$17</f>
        <v>-5000</v>
      </c>
      <c r="M31" s="64">
        <f>'Cost Worksheet'!$D$73*'Cost Worksheet'!D$10</f>
        <v>20000</v>
      </c>
      <c r="N31" s="38">
        <f>'Benefits Worksheet'!$D$9*M31/'Cost Worksheet'!$D$80</f>
        <v>2500000</v>
      </c>
      <c r="O31" s="48">
        <f>'Benefits Worksheet'!$D$22*I31*'Cost Worksheet'!D$10/'Cost Worksheet'!$D$80</f>
        <v>240000</v>
      </c>
      <c r="P31" s="48">
        <f>'Benefits Worksheet'!$D$24*I31*'Cost Worksheet'!D$10/'Cost Worksheet'!$D$80</f>
        <v>200000</v>
      </c>
      <c r="Q31" s="48">
        <f>'Benefits Worksheet'!$D$26*I31*'Cost Worksheet'!D$10/'Cost Worksheet'!$D$80</f>
        <v>0</v>
      </c>
      <c r="R31" s="48">
        <f>'Benefits Worksheet'!$D$28*I31*'Cost Worksheet'!D$10/'Cost Worksheet'!$D$80</f>
        <v>0</v>
      </c>
      <c r="S31" s="48">
        <f>'Benefits Worksheet'!$D$33*I31*'Cost Worksheet'!D$10/'Cost Worksheet'!$D$80</f>
        <v>0</v>
      </c>
      <c r="T31" s="48">
        <f>'Benefits Worksheet'!$D$35*I31*'Cost Worksheet'!D$10/'Cost Worksheet'!$D$80</f>
        <v>0</v>
      </c>
      <c r="U31" s="89">
        <f t="shared" si="2"/>
        <v>2482500</v>
      </c>
      <c r="V31" s="16"/>
      <c r="X31" s="16"/>
      <c r="Y31" s="38"/>
      <c r="Z31" s="46">
        <f>'Cost Worksheet'!$D$66</f>
        <v>17.5</v>
      </c>
      <c r="AA31" s="38">
        <f>-Z31*'Cost Worksheet'!$D$80*'Cost Worksheet'!D$10</f>
        <v>-350000</v>
      </c>
      <c r="AB31" s="38">
        <f>AA31*'Cost Worksheet'!$D$82</f>
        <v>-122499.99999999999</v>
      </c>
      <c r="AC31" s="38">
        <f>'Benefits Worksheet'!$D$9*'Cost Worksheet'!D$10</f>
        <v>2500000</v>
      </c>
      <c r="AD31" s="36">
        <f t="shared" si="0"/>
        <v>2027500</v>
      </c>
      <c r="AE31" s="16"/>
      <c r="AF31" s="20"/>
      <c r="AG31" s="16"/>
      <c r="AH31" s="36">
        <f>IF(A31&lt;='ROI Calculator'!$D$8,U31-AD31,0)</f>
        <v>0</v>
      </c>
    </row>
    <row r="32" spans="1:34">
      <c r="A32" s="6">
        <v>25</v>
      </c>
      <c r="B32" s="45"/>
      <c r="C32" s="52"/>
      <c r="D32" s="52"/>
      <c r="E32" s="52"/>
      <c r="F32" s="52"/>
      <c r="G32" s="53"/>
      <c r="H32" s="37">
        <f>'Cost Worksheet'!$D$66</f>
        <v>17.5</v>
      </c>
      <c r="I32" s="64">
        <f>'Cost Worksheet'!$D$80*'Cost Worksheet'!D$10</f>
        <v>20000</v>
      </c>
      <c r="J32" s="38">
        <f t="shared" si="1"/>
        <v>-350000</v>
      </c>
      <c r="K32" s="38">
        <f>IF($A32&gt;='Cost Worksheet'!$D$84,Calculations!J32*'Cost Worksheet'!$D$82,0)</f>
        <v>-122499.99999999999</v>
      </c>
      <c r="L32" s="60">
        <f>-'Cost Worksheet'!$D$17</f>
        <v>-5000</v>
      </c>
      <c r="M32" s="64">
        <f>'Cost Worksheet'!$D$73*'Cost Worksheet'!D$10</f>
        <v>20000</v>
      </c>
      <c r="N32" s="38">
        <f>'Benefits Worksheet'!$D$9*M32/'Cost Worksheet'!$D$80</f>
        <v>2500000</v>
      </c>
      <c r="O32" s="48">
        <f>'Benefits Worksheet'!$D$22*I32*'Cost Worksheet'!D$10/'Cost Worksheet'!$D$80</f>
        <v>240000</v>
      </c>
      <c r="P32" s="48">
        <f>'Benefits Worksheet'!$D$24*I32*'Cost Worksheet'!D$10/'Cost Worksheet'!$D$80</f>
        <v>200000</v>
      </c>
      <c r="Q32" s="48">
        <f>'Benefits Worksheet'!$D$26*I32*'Cost Worksheet'!D$10/'Cost Worksheet'!$D$80</f>
        <v>0</v>
      </c>
      <c r="R32" s="48">
        <f>'Benefits Worksheet'!$D$28*I32*'Cost Worksheet'!D$10/'Cost Worksheet'!$D$80</f>
        <v>0</v>
      </c>
      <c r="S32" s="48">
        <f>'Benefits Worksheet'!$D$33*I32*'Cost Worksheet'!D$10/'Cost Worksheet'!$D$80</f>
        <v>0</v>
      </c>
      <c r="T32" s="48">
        <f>'Benefits Worksheet'!$D$35*I32*'Cost Worksheet'!D$10/'Cost Worksheet'!$D$80</f>
        <v>0</v>
      </c>
      <c r="U32" s="89">
        <f t="shared" si="2"/>
        <v>2482500</v>
      </c>
      <c r="V32" s="16"/>
      <c r="X32" s="16"/>
      <c r="Y32" s="38"/>
      <c r="Z32" s="46">
        <f>'Cost Worksheet'!$D$66</f>
        <v>17.5</v>
      </c>
      <c r="AA32" s="38">
        <f>-Z32*'Cost Worksheet'!$D$80*'Cost Worksheet'!D$10</f>
        <v>-350000</v>
      </c>
      <c r="AB32" s="38">
        <f>AA32*'Cost Worksheet'!$D$82</f>
        <v>-122499.99999999999</v>
      </c>
      <c r="AC32" s="38">
        <f>'Benefits Worksheet'!$D$9*'Cost Worksheet'!D$10</f>
        <v>2500000</v>
      </c>
      <c r="AD32" s="36">
        <f t="shared" si="0"/>
        <v>2027500</v>
      </c>
      <c r="AE32" s="16"/>
      <c r="AF32" s="20"/>
      <c r="AG32" s="16"/>
      <c r="AH32" s="36">
        <f>IF(A32&lt;='ROI Calculator'!$D$8,U32-AD32,0)</f>
        <v>0</v>
      </c>
    </row>
    <row r="33" spans="1:34">
      <c r="A33" s="6">
        <v>26</v>
      </c>
      <c r="B33" s="45"/>
      <c r="C33" s="52"/>
      <c r="D33" s="52"/>
      <c r="E33" s="52"/>
      <c r="F33" s="52"/>
      <c r="G33" s="53"/>
      <c r="H33" s="37">
        <f>'Cost Worksheet'!$D$66</f>
        <v>17.5</v>
      </c>
      <c r="I33" s="64">
        <f>'Cost Worksheet'!$D$80*'Cost Worksheet'!D$10</f>
        <v>20000</v>
      </c>
      <c r="J33" s="38">
        <f t="shared" si="1"/>
        <v>-350000</v>
      </c>
      <c r="K33" s="38">
        <f>IF($A33&gt;='Cost Worksheet'!$D$84,Calculations!J33*'Cost Worksheet'!$D$82,0)</f>
        <v>-122499.99999999999</v>
      </c>
      <c r="L33" s="60">
        <f>-'Cost Worksheet'!$D$17</f>
        <v>-5000</v>
      </c>
      <c r="M33" s="64">
        <f>'Cost Worksheet'!$D$73*'Cost Worksheet'!D$10</f>
        <v>20000</v>
      </c>
      <c r="N33" s="38">
        <f>'Benefits Worksheet'!$D$9*M33/'Cost Worksheet'!$D$80</f>
        <v>2500000</v>
      </c>
      <c r="O33" s="48">
        <f>'Benefits Worksheet'!$D$22*I33*'Cost Worksheet'!D$10/'Cost Worksheet'!$D$80</f>
        <v>240000</v>
      </c>
      <c r="P33" s="48">
        <f>'Benefits Worksheet'!$D$24*I33*'Cost Worksheet'!D$10/'Cost Worksheet'!$D$80</f>
        <v>200000</v>
      </c>
      <c r="Q33" s="48">
        <f>'Benefits Worksheet'!$D$26*I33*'Cost Worksheet'!D$10/'Cost Worksheet'!$D$80</f>
        <v>0</v>
      </c>
      <c r="R33" s="48">
        <f>'Benefits Worksheet'!$D$28*I33*'Cost Worksheet'!D$10/'Cost Worksheet'!$D$80</f>
        <v>0</v>
      </c>
      <c r="S33" s="48">
        <f>'Benefits Worksheet'!$D$33*I33*'Cost Worksheet'!D$10/'Cost Worksheet'!$D$80</f>
        <v>0</v>
      </c>
      <c r="T33" s="48">
        <f>'Benefits Worksheet'!$D$35*I33*'Cost Worksheet'!D$10/'Cost Worksheet'!$D$80</f>
        <v>0</v>
      </c>
      <c r="U33" s="89">
        <f t="shared" si="2"/>
        <v>2482500</v>
      </c>
      <c r="V33" s="16"/>
      <c r="X33" s="16"/>
      <c r="Y33" s="38"/>
      <c r="Z33" s="46">
        <f>'Cost Worksheet'!$D$66</f>
        <v>17.5</v>
      </c>
      <c r="AA33" s="38">
        <f>-Z33*'Cost Worksheet'!$D$80*'Cost Worksheet'!D$10</f>
        <v>-350000</v>
      </c>
      <c r="AB33" s="38">
        <f>AA33*'Cost Worksheet'!$D$82</f>
        <v>-122499.99999999999</v>
      </c>
      <c r="AC33" s="38">
        <f>'Benefits Worksheet'!$D$9*'Cost Worksheet'!D$10</f>
        <v>2500000</v>
      </c>
      <c r="AD33" s="36">
        <f t="shared" si="0"/>
        <v>2027500</v>
      </c>
      <c r="AE33" s="16"/>
      <c r="AF33" s="20"/>
      <c r="AG33" s="16"/>
      <c r="AH33" s="36">
        <f>IF(A33&lt;='ROI Calculator'!$D$8,U33-AD33,0)</f>
        <v>0</v>
      </c>
    </row>
    <row r="34" spans="1:34">
      <c r="A34" s="6">
        <v>27</v>
      </c>
      <c r="B34" s="45"/>
      <c r="C34" s="52"/>
      <c r="D34" s="52"/>
      <c r="E34" s="52"/>
      <c r="F34" s="52"/>
      <c r="G34" s="53"/>
      <c r="H34" s="37">
        <f>'Cost Worksheet'!$D$66</f>
        <v>17.5</v>
      </c>
      <c r="I34" s="64">
        <f>'Cost Worksheet'!$D$80*'Cost Worksheet'!D$10</f>
        <v>20000</v>
      </c>
      <c r="J34" s="38">
        <f t="shared" si="1"/>
        <v>-350000</v>
      </c>
      <c r="K34" s="38">
        <f>IF($A34&gt;='Cost Worksheet'!$D$84,Calculations!J34*'Cost Worksheet'!$D$82,0)</f>
        <v>-122499.99999999999</v>
      </c>
      <c r="L34" s="60">
        <f>-'Cost Worksheet'!$D$17</f>
        <v>-5000</v>
      </c>
      <c r="M34" s="64">
        <f>'Cost Worksheet'!$D$73*'Cost Worksheet'!D$10</f>
        <v>20000</v>
      </c>
      <c r="N34" s="38">
        <f>'Benefits Worksheet'!$D$9*M34/'Cost Worksheet'!$D$80</f>
        <v>2500000</v>
      </c>
      <c r="O34" s="48">
        <f>'Benefits Worksheet'!$D$22*I34*'Cost Worksheet'!D$10/'Cost Worksheet'!$D$80</f>
        <v>240000</v>
      </c>
      <c r="P34" s="48">
        <f>'Benefits Worksheet'!$D$24*I34*'Cost Worksheet'!D$10/'Cost Worksheet'!$D$80</f>
        <v>200000</v>
      </c>
      <c r="Q34" s="48">
        <f>'Benefits Worksheet'!$D$26*I34*'Cost Worksheet'!D$10/'Cost Worksheet'!$D$80</f>
        <v>0</v>
      </c>
      <c r="R34" s="48">
        <f>'Benefits Worksheet'!$D$28*I34*'Cost Worksheet'!D$10/'Cost Worksheet'!$D$80</f>
        <v>0</v>
      </c>
      <c r="S34" s="48">
        <f>'Benefits Worksheet'!$D$33*I34*'Cost Worksheet'!D$10/'Cost Worksheet'!$D$80</f>
        <v>0</v>
      </c>
      <c r="T34" s="48">
        <f>'Benefits Worksheet'!$D$35*I34*'Cost Worksheet'!D$10/'Cost Worksheet'!$D$80</f>
        <v>0</v>
      </c>
      <c r="U34" s="89">
        <f t="shared" si="2"/>
        <v>2482500</v>
      </c>
      <c r="V34" s="16"/>
      <c r="X34" s="16"/>
      <c r="Y34" s="38"/>
      <c r="Z34" s="46">
        <f>'Cost Worksheet'!$D$66</f>
        <v>17.5</v>
      </c>
      <c r="AA34" s="38">
        <f>-Z34*'Cost Worksheet'!$D$80*'Cost Worksheet'!D$10</f>
        <v>-350000</v>
      </c>
      <c r="AB34" s="38">
        <f>AA34*'Cost Worksheet'!$D$82</f>
        <v>-122499.99999999999</v>
      </c>
      <c r="AC34" s="38">
        <f>'Benefits Worksheet'!$D$9*'Cost Worksheet'!D$10</f>
        <v>2500000</v>
      </c>
      <c r="AD34" s="36">
        <f t="shared" si="0"/>
        <v>2027500</v>
      </c>
      <c r="AE34" s="16"/>
      <c r="AF34" s="20"/>
      <c r="AG34" s="16"/>
      <c r="AH34" s="36">
        <f>IF(A34&lt;='ROI Calculator'!$D$8,U34-AD34,0)</f>
        <v>0</v>
      </c>
    </row>
    <row r="35" spans="1:34">
      <c r="A35" s="6">
        <v>28</v>
      </c>
      <c r="B35" s="45"/>
      <c r="C35" s="52"/>
      <c r="D35" s="52"/>
      <c r="E35" s="52"/>
      <c r="F35" s="52"/>
      <c r="G35" s="53"/>
      <c r="H35" s="37">
        <f>'Cost Worksheet'!$D$66</f>
        <v>17.5</v>
      </c>
      <c r="I35" s="64">
        <f>'Cost Worksheet'!$D$80*'Cost Worksheet'!D$10</f>
        <v>20000</v>
      </c>
      <c r="J35" s="38">
        <f t="shared" si="1"/>
        <v>-350000</v>
      </c>
      <c r="K35" s="38">
        <f>IF($A35&gt;='Cost Worksheet'!$D$84,Calculations!J35*'Cost Worksheet'!$D$82,0)</f>
        <v>-122499.99999999999</v>
      </c>
      <c r="L35" s="60">
        <f>-'Cost Worksheet'!$D$17</f>
        <v>-5000</v>
      </c>
      <c r="M35" s="64">
        <f>'Cost Worksheet'!$D$73*'Cost Worksheet'!D$10</f>
        <v>20000</v>
      </c>
      <c r="N35" s="38">
        <f>'Benefits Worksheet'!$D$9*M35/'Cost Worksheet'!$D$80</f>
        <v>2500000</v>
      </c>
      <c r="O35" s="48">
        <f>'Benefits Worksheet'!$D$22*I35*'Cost Worksheet'!D$10/'Cost Worksheet'!$D$80</f>
        <v>240000</v>
      </c>
      <c r="P35" s="48">
        <f>'Benefits Worksheet'!$D$24*I35*'Cost Worksheet'!D$10/'Cost Worksheet'!$D$80</f>
        <v>200000</v>
      </c>
      <c r="Q35" s="48">
        <f>'Benefits Worksheet'!$D$26*I35*'Cost Worksheet'!D$10/'Cost Worksheet'!$D$80</f>
        <v>0</v>
      </c>
      <c r="R35" s="48">
        <f>'Benefits Worksheet'!$D$28*I35*'Cost Worksheet'!D$10/'Cost Worksheet'!$D$80</f>
        <v>0</v>
      </c>
      <c r="S35" s="48">
        <f>'Benefits Worksheet'!$D$33*I35*'Cost Worksheet'!D$10/'Cost Worksheet'!$D$80</f>
        <v>0</v>
      </c>
      <c r="T35" s="48">
        <f>'Benefits Worksheet'!$D$35*I35*'Cost Worksheet'!D$10/'Cost Worksheet'!$D$80</f>
        <v>0</v>
      </c>
      <c r="U35" s="89">
        <f t="shared" si="2"/>
        <v>2482500</v>
      </c>
      <c r="V35" s="16"/>
      <c r="X35" s="16"/>
      <c r="Y35" s="38"/>
      <c r="Z35" s="46">
        <f>'Cost Worksheet'!$D$66</f>
        <v>17.5</v>
      </c>
      <c r="AA35" s="38">
        <f>-Z35*'Cost Worksheet'!$D$80*'Cost Worksheet'!D$10</f>
        <v>-350000</v>
      </c>
      <c r="AB35" s="38">
        <f>AA35*'Cost Worksheet'!$D$82</f>
        <v>-122499.99999999999</v>
      </c>
      <c r="AC35" s="38">
        <f>'Benefits Worksheet'!$D$9*'Cost Worksheet'!D$10</f>
        <v>2500000</v>
      </c>
      <c r="AD35" s="36">
        <f t="shared" si="0"/>
        <v>2027500</v>
      </c>
      <c r="AE35" s="16"/>
      <c r="AF35" s="20"/>
      <c r="AG35" s="16"/>
      <c r="AH35" s="36">
        <f>IF(A35&lt;='ROI Calculator'!$D$8,U35-AD35,0)</f>
        <v>0</v>
      </c>
    </row>
    <row r="36" spans="1:34">
      <c r="A36" s="6">
        <v>29</v>
      </c>
      <c r="B36" s="45"/>
      <c r="C36" s="52"/>
      <c r="D36" s="52"/>
      <c r="E36" s="52"/>
      <c r="F36" s="52"/>
      <c r="G36" s="53"/>
      <c r="H36" s="37">
        <f>'Cost Worksheet'!$D$66</f>
        <v>17.5</v>
      </c>
      <c r="I36" s="64">
        <f>'Cost Worksheet'!$D$80*'Cost Worksheet'!D$10</f>
        <v>20000</v>
      </c>
      <c r="J36" s="38">
        <f t="shared" si="1"/>
        <v>-350000</v>
      </c>
      <c r="K36" s="38">
        <f>IF($A36&gt;='Cost Worksheet'!$D$84,Calculations!J36*'Cost Worksheet'!$D$82,0)</f>
        <v>-122499.99999999999</v>
      </c>
      <c r="L36" s="60">
        <f>-'Cost Worksheet'!$D$17</f>
        <v>-5000</v>
      </c>
      <c r="M36" s="64">
        <f>'Cost Worksheet'!$D$73*'Cost Worksheet'!D$10</f>
        <v>20000</v>
      </c>
      <c r="N36" s="38">
        <f>'Benefits Worksheet'!$D$9*M36/'Cost Worksheet'!$D$80</f>
        <v>2500000</v>
      </c>
      <c r="O36" s="48">
        <f>'Benefits Worksheet'!$D$22*I36*'Cost Worksheet'!D$10/'Cost Worksheet'!$D$80</f>
        <v>240000</v>
      </c>
      <c r="P36" s="48">
        <f>'Benefits Worksheet'!$D$24*I36*'Cost Worksheet'!D$10/'Cost Worksheet'!$D$80</f>
        <v>200000</v>
      </c>
      <c r="Q36" s="48">
        <f>'Benefits Worksheet'!$D$26*I36*'Cost Worksheet'!D$10/'Cost Worksheet'!$D$80</f>
        <v>0</v>
      </c>
      <c r="R36" s="48">
        <f>'Benefits Worksheet'!$D$28*I36*'Cost Worksheet'!D$10/'Cost Worksheet'!$D$80</f>
        <v>0</v>
      </c>
      <c r="S36" s="48">
        <f>'Benefits Worksheet'!$D$33*I36*'Cost Worksheet'!D$10/'Cost Worksheet'!$D$80</f>
        <v>0</v>
      </c>
      <c r="T36" s="48">
        <f>'Benefits Worksheet'!$D$35*I36*'Cost Worksheet'!D$10/'Cost Worksheet'!$D$80</f>
        <v>0</v>
      </c>
      <c r="U36" s="89">
        <f t="shared" si="2"/>
        <v>2482500</v>
      </c>
      <c r="V36" s="16"/>
      <c r="X36" s="16"/>
      <c r="Y36" s="38"/>
      <c r="Z36" s="46">
        <f>'Cost Worksheet'!$D$66</f>
        <v>17.5</v>
      </c>
      <c r="AA36" s="38">
        <f>-Z36*'Cost Worksheet'!$D$80*'Cost Worksheet'!D$10</f>
        <v>-350000</v>
      </c>
      <c r="AB36" s="38">
        <f>AA36*'Cost Worksheet'!$D$82</f>
        <v>-122499.99999999999</v>
      </c>
      <c r="AC36" s="38">
        <f>'Benefits Worksheet'!$D$9*'Cost Worksheet'!D$10</f>
        <v>2500000</v>
      </c>
      <c r="AD36" s="36">
        <f t="shared" si="0"/>
        <v>2027500</v>
      </c>
      <c r="AE36" s="16"/>
      <c r="AF36" s="20"/>
      <c r="AG36" s="16"/>
      <c r="AH36" s="36">
        <f>IF(A36&lt;='ROI Calculator'!$D$8,U36-AD36,0)</f>
        <v>0</v>
      </c>
    </row>
    <row r="37" spans="1:34">
      <c r="A37" s="6">
        <v>30</v>
      </c>
      <c r="B37" s="45"/>
      <c r="C37" s="52"/>
      <c r="D37" s="52"/>
      <c r="E37" s="52"/>
      <c r="F37" s="52"/>
      <c r="G37" s="53"/>
      <c r="H37" s="37">
        <f>'Cost Worksheet'!$D$66</f>
        <v>17.5</v>
      </c>
      <c r="I37" s="64">
        <f>'Cost Worksheet'!$D$80*'Cost Worksheet'!D$10</f>
        <v>20000</v>
      </c>
      <c r="J37" s="38">
        <f t="shared" si="1"/>
        <v>-350000</v>
      </c>
      <c r="K37" s="38">
        <f>IF($A37&gt;='Cost Worksheet'!$D$84,Calculations!J37*'Cost Worksheet'!$D$82,0)</f>
        <v>-122499.99999999999</v>
      </c>
      <c r="L37" s="60">
        <f>-'Cost Worksheet'!$D$17</f>
        <v>-5000</v>
      </c>
      <c r="M37" s="64">
        <f>'Cost Worksheet'!$D$73*'Cost Worksheet'!D$10</f>
        <v>20000</v>
      </c>
      <c r="N37" s="38">
        <f>'Benefits Worksheet'!$D$9*M37/'Cost Worksheet'!$D$80</f>
        <v>2500000</v>
      </c>
      <c r="O37" s="48">
        <f>'Benefits Worksheet'!$D$22*I37*'Cost Worksheet'!D$10/'Cost Worksheet'!$D$80</f>
        <v>240000</v>
      </c>
      <c r="P37" s="48">
        <f>'Benefits Worksheet'!$D$24*I37*'Cost Worksheet'!D$10/'Cost Worksheet'!$D$80</f>
        <v>200000</v>
      </c>
      <c r="Q37" s="48">
        <f>'Benefits Worksheet'!$D$26*I37*'Cost Worksheet'!D$10/'Cost Worksheet'!$D$80</f>
        <v>0</v>
      </c>
      <c r="R37" s="48">
        <f>'Benefits Worksheet'!$D$28*I37*'Cost Worksheet'!D$10/'Cost Worksheet'!$D$80</f>
        <v>0</v>
      </c>
      <c r="S37" s="48">
        <f>'Benefits Worksheet'!$D$33*I37*'Cost Worksheet'!D$10/'Cost Worksheet'!$D$80</f>
        <v>0</v>
      </c>
      <c r="T37" s="48">
        <f>'Benefits Worksheet'!$D$35*I37*'Cost Worksheet'!D$10/'Cost Worksheet'!$D$80</f>
        <v>0</v>
      </c>
      <c r="U37" s="89">
        <f t="shared" si="2"/>
        <v>2482500</v>
      </c>
      <c r="V37" s="16"/>
      <c r="X37" s="16"/>
      <c r="Y37" s="38"/>
      <c r="Z37" s="46">
        <f>'Cost Worksheet'!$D$66</f>
        <v>17.5</v>
      </c>
      <c r="AA37" s="38">
        <f>-Z37*'Cost Worksheet'!$D$80*'Cost Worksheet'!D$10</f>
        <v>-350000</v>
      </c>
      <c r="AB37" s="38">
        <f>AA37*'Cost Worksheet'!$D$82</f>
        <v>-122499.99999999999</v>
      </c>
      <c r="AC37" s="38">
        <f>'Benefits Worksheet'!$D$9*'Cost Worksheet'!D$10</f>
        <v>2500000</v>
      </c>
      <c r="AD37" s="36">
        <f t="shared" si="0"/>
        <v>2027500</v>
      </c>
      <c r="AE37" s="16"/>
      <c r="AF37" s="20"/>
      <c r="AG37" s="16"/>
      <c r="AH37" s="36">
        <f>IF(A37&lt;='ROI Calculator'!$D$8,U37-AD37,0)</f>
        <v>0</v>
      </c>
    </row>
    <row r="38" spans="1:34">
      <c r="A38" s="6">
        <v>31</v>
      </c>
      <c r="B38" s="45"/>
      <c r="C38" s="52"/>
      <c r="D38" s="52"/>
      <c r="E38" s="52"/>
      <c r="F38" s="52"/>
      <c r="G38" s="53"/>
      <c r="H38" s="37">
        <f>'Cost Worksheet'!$D$66</f>
        <v>17.5</v>
      </c>
      <c r="I38" s="64">
        <f>'Cost Worksheet'!$D$80*'Cost Worksheet'!D$10</f>
        <v>20000</v>
      </c>
      <c r="J38" s="38">
        <f t="shared" si="1"/>
        <v>-350000</v>
      </c>
      <c r="K38" s="38">
        <f>IF($A38&gt;='Cost Worksheet'!$D$84,Calculations!J38*'Cost Worksheet'!$D$82,0)</f>
        <v>-122499.99999999999</v>
      </c>
      <c r="L38" s="60">
        <f>-'Cost Worksheet'!$D$17</f>
        <v>-5000</v>
      </c>
      <c r="M38" s="64">
        <f>'Cost Worksheet'!$D$73*'Cost Worksheet'!D$10</f>
        <v>20000</v>
      </c>
      <c r="N38" s="38">
        <f>'Benefits Worksheet'!$D$9*M38/'Cost Worksheet'!$D$80</f>
        <v>2500000</v>
      </c>
      <c r="O38" s="48">
        <f>'Benefits Worksheet'!$D$22*I38*'Cost Worksheet'!D$10/'Cost Worksheet'!$D$80</f>
        <v>240000</v>
      </c>
      <c r="P38" s="48">
        <f>'Benefits Worksheet'!$D$24*I38*'Cost Worksheet'!D$10/'Cost Worksheet'!$D$80</f>
        <v>200000</v>
      </c>
      <c r="Q38" s="48">
        <f>'Benefits Worksheet'!$D$26*I38*'Cost Worksheet'!D$10/'Cost Worksheet'!$D$80</f>
        <v>0</v>
      </c>
      <c r="R38" s="48">
        <f>'Benefits Worksheet'!$D$28*I38*'Cost Worksheet'!D$10/'Cost Worksheet'!$D$80</f>
        <v>0</v>
      </c>
      <c r="S38" s="48">
        <f>'Benefits Worksheet'!$D$33*I38*'Cost Worksheet'!D$10/'Cost Worksheet'!$D$80</f>
        <v>0</v>
      </c>
      <c r="T38" s="48">
        <f>'Benefits Worksheet'!$D$35*I38*'Cost Worksheet'!D$10/'Cost Worksheet'!$D$80</f>
        <v>0</v>
      </c>
      <c r="U38" s="89">
        <f t="shared" si="2"/>
        <v>2482500</v>
      </c>
      <c r="V38" s="16"/>
      <c r="X38" s="16"/>
      <c r="Y38" s="38"/>
      <c r="Z38" s="46">
        <f>'Cost Worksheet'!$D$66</f>
        <v>17.5</v>
      </c>
      <c r="AA38" s="38">
        <f>-Z38*'Cost Worksheet'!$D$80*'Cost Worksheet'!D$10</f>
        <v>-350000</v>
      </c>
      <c r="AB38" s="38">
        <f>AA38*'Cost Worksheet'!$D$82</f>
        <v>-122499.99999999999</v>
      </c>
      <c r="AC38" s="38">
        <f>'Benefits Worksheet'!$D$9*'Cost Worksheet'!D$10</f>
        <v>2500000</v>
      </c>
      <c r="AD38" s="36">
        <f t="shared" si="0"/>
        <v>2027500</v>
      </c>
      <c r="AE38" s="16"/>
      <c r="AF38" s="20"/>
      <c r="AG38" s="16"/>
      <c r="AH38" s="36">
        <f>IF(A38&lt;='ROI Calculator'!$D$8,U38-AD38,0)</f>
        <v>0</v>
      </c>
    </row>
    <row r="39" spans="1:34">
      <c r="A39" s="6">
        <v>32</v>
      </c>
      <c r="B39" s="45"/>
      <c r="C39" s="52"/>
      <c r="D39" s="52"/>
      <c r="E39" s="52"/>
      <c r="F39" s="52"/>
      <c r="G39" s="53"/>
      <c r="H39" s="37">
        <f>'Cost Worksheet'!$D$66</f>
        <v>17.5</v>
      </c>
      <c r="I39" s="64">
        <f>'Cost Worksheet'!$D$80*'Cost Worksheet'!D$10</f>
        <v>20000</v>
      </c>
      <c r="J39" s="38">
        <f t="shared" si="1"/>
        <v>-350000</v>
      </c>
      <c r="K39" s="38">
        <f>IF($A39&gt;='Cost Worksheet'!$D$84,Calculations!J39*'Cost Worksheet'!$D$82,0)</f>
        <v>-122499.99999999999</v>
      </c>
      <c r="L39" s="60">
        <f>-'Cost Worksheet'!$D$17</f>
        <v>-5000</v>
      </c>
      <c r="M39" s="64">
        <f>'Cost Worksheet'!$D$73*'Cost Worksheet'!D$10</f>
        <v>20000</v>
      </c>
      <c r="N39" s="38">
        <f>'Benefits Worksheet'!$D$9*M39/'Cost Worksheet'!$D$80</f>
        <v>2500000</v>
      </c>
      <c r="O39" s="48">
        <f>'Benefits Worksheet'!$D$22*I39*'Cost Worksheet'!D$10/'Cost Worksheet'!$D$80</f>
        <v>240000</v>
      </c>
      <c r="P39" s="48">
        <f>'Benefits Worksheet'!$D$24*I39*'Cost Worksheet'!D$10/'Cost Worksheet'!$D$80</f>
        <v>200000</v>
      </c>
      <c r="Q39" s="48">
        <f>'Benefits Worksheet'!$D$26*I39*'Cost Worksheet'!D$10/'Cost Worksheet'!$D$80</f>
        <v>0</v>
      </c>
      <c r="R39" s="48">
        <f>'Benefits Worksheet'!$D$28*I39*'Cost Worksheet'!D$10/'Cost Worksheet'!$D$80</f>
        <v>0</v>
      </c>
      <c r="S39" s="48">
        <f>'Benefits Worksheet'!$D$33*I39*'Cost Worksheet'!D$10/'Cost Worksheet'!$D$80</f>
        <v>0</v>
      </c>
      <c r="T39" s="48">
        <f>'Benefits Worksheet'!$D$35*I39*'Cost Worksheet'!D$10/'Cost Worksheet'!$D$80</f>
        <v>0</v>
      </c>
      <c r="U39" s="89">
        <f t="shared" si="2"/>
        <v>2482500</v>
      </c>
      <c r="V39" s="16"/>
      <c r="X39" s="16"/>
      <c r="Y39" s="38"/>
      <c r="Z39" s="46">
        <f>'Cost Worksheet'!$D$66</f>
        <v>17.5</v>
      </c>
      <c r="AA39" s="38">
        <f>-Z39*'Cost Worksheet'!$D$80*'Cost Worksheet'!D$10</f>
        <v>-350000</v>
      </c>
      <c r="AB39" s="38">
        <f>AA39*'Cost Worksheet'!$D$82</f>
        <v>-122499.99999999999</v>
      </c>
      <c r="AC39" s="38">
        <f>'Benefits Worksheet'!$D$9*'Cost Worksheet'!D$10</f>
        <v>2500000</v>
      </c>
      <c r="AD39" s="36">
        <f t="shared" si="0"/>
        <v>2027500</v>
      </c>
      <c r="AE39" s="16"/>
      <c r="AF39" s="20"/>
      <c r="AG39" s="16"/>
      <c r="AH39" s="36">
        <f>IF(A39&lt;='ROI Calculator'!$D$8,U39-AD39,0)</f>
        <v>0</v>
      </c>
    </row>
    <row r="40" spans="1:34">
      <c r="A40" s="6">
        <v>33</v>
      </c>
      <c r="B40" s="45"/>
      <c r="C40" s="52"/>
      <c r="D40" s="52"/>
      <c r="E40" s="52"/>
      <c r="F40" s="52"/>
      <c r="G40" s="53"/>
      <c r="H40" s="37">
        <f>'Cost Worksheet'!$D$66</f>
        <v>17.5</v>
      </c>
      <c r="I40" s="64">
        <f>'Cost Worksheet'!$D$80*'Cost Worksheet'!D$10</f>
        <v>20000</v>
      </c>
      <c r="J40" s="38">
        <f t="shared" si="1"/>
        <v>-350000</v>
      </c>
      <c r="K40" s="38">
        <f>IF($A40&gt;='Cost Worksheet'!$D$84,Calculations!J40*'Cost Worksheet'!$D$82,0)</f>
        <v>-122499.99999999999</v>
      </c>
      <c r="L40" s="60">
        <f>-'Cost Worksheet'!$D$17</f>
        <v>-5000</v>
      </c>
      <c r="M40" s="64">
        <f>'Cost Worksheet'!$D$73*'Cost Worksheet'!D$10</f>
        <v>20000</v>
      </c>
      <c r="N40" s="38">
        <f>'Benefits Worksheet'!$D$9*M40/'Cost Worksheet'!$D$80</f>
        <v>2500000</v>
      </c>
      <c r="O40" s="48">
        <f>'Benefits Worksheet'!$D$22*I40*'Cost Worksheet'!D$10/'Cost Worksheet'!$D$80</f>
        <v>240000</v>
      </c>
      <c r="P40" s="48">
        <f>'Benefits Worksheet'!$D$24*I40*'Cost Worksheet'!D$10/'Cost Worksheet'!$D$80</f>
        <v>200000</v>
      </c>
      <c r="Q40" s="48">
        <f>'Benefits Worksheet'!$D$26*I40*'Cost Worksheet'!D$10/'Cost Worksheet'!$D$80</f>
        <v>0</v>
      </c>
      <c r="R40" s="48">
        <f>'Benefits Worksheet'!$D$28*I40*'Cost Worksheet'!D$10/'Cost Worksheet'!$D$80</f>
        <v>0</v>
      </c>
      <c r="S40" s="48">
        <f>'Benefits Worksheet'!$D$33*I40*'Cost Worksheet'!D$10/'Cost Worksheet'!$D$80</f>
        <v>0</v>
      </c>
      <c r="T40" s="48">
        <f>'Benefits Worksheet'!$D$35*I40*'Cost Worksheet'!D$10/'Cost Worksheet'!$D$80</f>
        <v>0</v>
      </c>
      <c r="U40" s="89">
        <f t="shared" si="2"/>
        <v>2482500</v>
      </c>
      <c r="V40" s="16"/>
      <c r="X40" s="16"/>
      <c r="Y40" s="38"/>
      <c r="Z40" s="46">
        <f>'Cost Worksheet'!$D$66</f>
        <v>17.5</v>
      </c>
      <c r="AA40" s="38">
        <f>-Z40*'Cost Worksheet'!$D$80*'Cost Worksheet'!D$10</f>
        <v>-350000</v>
      </c>
      <c r="AB40" s="38">
        <f>AA40*'Cost Worksheet'!$D$82</f>
        <v>-122499.99999999999</v>
      </c>
      <c r="AC40" s="38">
        <f>'Benefits Worksheet'!$D$9*'Cost Worksheet'!D$10</f>
        <v>2500000</v>
      </c>
      <c r="AD40" s="36">
        <f t="shared" si="0"/>
        <v>2027500</v>
      </c>
      <c r="AE40" s="16"/>
      <c r="AF40" s="20"/>
      <c r="AG40" s="16"/>
      <c r="AH40" s="36">
        <f>IF(A40&lt;='ROI Calculator'!$D$8,U40-AD40,0)</f>
        <v>0</v>
      </c>
    </row>
    <row r="41" spans="1:34">
      <c r="A41" s="6">
        <v>34</v>
      </c>
      <c r="B41" s="45"/>
      <c r="C41" s="52"/>
      <c r="D41" s="52"/>
      <c r="E41" s="52"/>
      <c r="F41" s="52"/>
      <c r="G41" s="53"/>
      <c r="H41" s="37">
        <f>'Cost Worksheet'!$D$66</f>
        <v>17.5</v>
      </c>
      <c r="I41" s="64">
        <f>'Cost Worksheet'!$D$80*'Cost Worksheet'!D$10</f>
        <v>20000</v>
      </c>
      <c r="J41" s="38">
        <f t="shared" si="1"/>
        <v>-350000</v>
      </c>
      <c r="K41" s="38">
        <f>IF($A41&gt;='Cost Worksheet'!$D$84,Calculations!J41*'Cost Worksheet'!$D$82,0)</f>
        <v>-122499.99999999999</v>
      </c>
      <c r="L41" s="60">
        <f>-'Cost Worksheet'!$D$17</f>
        <v>-5000</v>
      </c>
      <c r="M41" s="64">
        <f>'Cost Worksheet'!$D$73*'Cost Worksheet'!D$10</f>
        <v>20000</v>
      </c>
      <c r="N41" s="38">
        <f>'Benefits Worksheet'!$D$9*M41/'Cost Worksheet'!$D$80</f>
        <v>2500000</v>
      </c>
      <c r="O41" s="48">
        <f>'Benefits Worksheet'!$D$22*I41*'Cost Worksheet'!D$10/'Cost Worksheet'!$D$80</f>
        <v>240000</v>
      </c>
      <c r="P41" s="48">
        <f>'Benefits Worksheet'!$D$24*I41*'Cost Worksheet'!D$10/'Cost Worksheet'!$D$80</f>
        <v>200000</v>
      </c>
      <c r="Q41" s="48">
        <f>'Benefits Worksheet'!$D$26*I41*'Cost Worksheet'!D$10/'Cost Worksheet'!$D$80</f>
        <v>0</v>
      </c>
      <c r="R41" s="48">
        <f>'Benefits Worksheet'!$D$28*I41*'Cost Worksheet'!D$10/'Cost Worksheet'!$D$80</f>
        <v>0</v>
      </c>
      <c r="S41" s="48">
        <f>'Benefits Worksheet'!$D$33*I41*'Cost Worksheet'!D$10/'Cost Worksheet'!$D$80</f>
        <v>0</v>
      </c>
      <c r="T41" s="48">
        <f>'Benefits Worksheet'!$D$35*I41*'Cost Worksheet'!D$10/'Cost Worksheet'!$D$80</f>
        <v>0</v>
      </c>
      <c r="U41" s="89">
        <f t="shared" si="2"/>
        <v>2482500</v>
      </c>
      <c r="V41" s="16"/>
      <c r="X41" s="16"/>
      <c r="Y41" s="38"/>
      <c r="Z41" s="46">
        <f>'Cost Worksheet'!$D$66</f>
        <v>17.5</v>
      </c>
      <c r="AA41" s="38">
        <f>-Z41*'Cost Worksheet'!$D$80*'Cost Worksheet'!D$10</f>
        <v>-350000</v>
      </c>
      <c r="AB41" s="38">
        <f>AA41*'Cost Worksheet'!$D$82</f>
        <v>-122499.99999999999</v>
      </c>
      <c r="AC41" s="38">
        <f>'Benefits Worksheet'!$D$9*'Cost Worksheet'!D$10</f>
        <v>2500000</v>
      </c>
      <c r="AD41" s="36">
        <f t="shared" si="0"/>
        <v>2027500</v>
      </c>
      <c r="AE41" s="16"/>
      <c r="AF41" s="20"/>
      <c r="AG41" s="16"/>
      <c r="AH41" s="36">
        <f>IF(A41&lt;='ROI Calculator'!$D$8,U41-AD41,0)</f>
        <v>0</v>
      </c>
    </row>
    <row r="42" spans="1:34">
      <c r="A42" s="6">
        <v>35</v>
      </c>
      <c r="B42" s="45"/>
      <c r="C42" s="52"/>
      <c r="D42" s="52"/>
      <c r="E42" s="52"/>
      <c r="F42" s="52"/>
      <c r="G42" s="53"/>
      <c r="H42" s="37">
        <f>'Cost Worksheet'!$D$66</f>
        <v>17.5</v>
      </c>
      <c r="I42" s="64">
        <f>'Cost Worksheet'!$D$80*'Cost Worksheet'!D$10</f>
        <v>20000</v>
      </c>
      <c r="J42" s="38">
        <f t="shared" si="1"/>
        <v>-350000</v>
      </c>
      <c r="K42" s="38">
        <f>IF($A42&gt;='Cost Worksheet'!$D$84,Calculations!J42*'Cost Worksheet'!$D$82,0)</f>
        <v>-122499.99999999999</v>
      </c>
      <c r="L42" s="60">
        <f>-'Cost Worksheet'!$D$17</f>
        <v>-5000</v>
      </c>
      <c r="M42" s="64">
        <f>'Cost Worksheet'!$D$73*'Cost Worksheet'!D$10</f>
        <v>20000</v>
      </c>
      <c r="N42" s="38">
        <f>'Benefits Worksheet'!$D$9*M42/'Cost Worksheet'!$D$80</f>
        <v>2500000</v>
      </c>
      <c r="O42" s="48">
        <f>'Benefits Worksheet'!$D$22*I42*'Cost Worksheet'!D$10/'Cost Worksheet'!$D$80</f>
        <v>240000</v>
      </c>
      <c r="P42" s="48">
        <f>'Benefits Worksheet'!$D$24*I42*'Cost Worksheet'!D$10/'Cost Worksheet'!$D$80</f>
        <v>200000</v>
      </c>
      <c r="Q42" s="48">
        <f>'Benefits Worksheet'!$D$26*I42*'Cost Worksheet'!D$10/'Cost Worksheet'!$D$80</f>
        <v>0</v>
      </c>
      <c r="R42" s="48">
        <f>'Benefits Worksheet'!$D$28*I42*'Cost Worksheet'!D$10/'Cost Worksheet'!$D$80</f>
        <v>0</v>
      </c>
      <c r="S42" s="48">
        <f>'Benefits Worksheet'!$D$33*I42*'Cost Worksheet'!D$10/'Cost Worksheet'!$D$80</f>
        <v>0</v>
      </c>
      <c r="T42" s="48">
        <f>'Benefits Worksheet'!$D$35*I42*'Cost Worksheet'!D$10/'Cost Worksheet'!$D$80</f>
        <v>0</v>
      </c>
      <c r="U42" s="89">
        <f t="shared" si="2"/>
        <v>2482500</v>
      </c>
      <c r="V42" s="16"/>
      <c r="X42" s="16"/>
      <c r="Y42" s="38"/>
      <c r="Z42" s="46">
        <f>'Cost Worksheet'!$D$66</f>
        <v>17.5</v>
      </c>
      <c r="AA42" s="38">
        <f>-Z42*'Cost Worksheet'!$D$80*'Cost Worksheet'!D$10</f>
        <v>-350000</v>
      </c>
      <c r="AB42" s="38">
        <f>AA42*'Cost Worksheet'!$D$82</f>
        <v>-122499.99999999999</v>
      </c>
      <c r="AC42" s="38">
        <f>'Benefits Worksheet'!$D$9*'Cost Worksheet'!D$10</f>
        <v>2500000</v>
      </c>
      <c r="AD42" s="36">
        <f t="shared" si="0"/>
        <v>2027500</v>
      </c>
      <c r="AE42" s="16"/>
      <c r="AF42" s="20"/>
      <c r="AG42" s="16"/>
      <c r="AH42" s="36">
        <f>IF(A42&lt;='ROI Calculator'!$D$8,U42-AD42,0)</f>
        <v>0</v>
      </c>
    </row>
    <row r="43" spans="1:34">
      <c r="A43" s="6">
        <v>36</v>
      </c>
      <c r="B43" s="45"/>
      <c r="C43" s="52"/>
      <c r="D43" s="52"/>
      <c r="E43" s="52"/>
      <c r="F43" s="52"/>
      <c r="G43" s="53"/>
      <c r="H43" s="37">
        <f>'Cost Worksheet'!$D$66</f>
        <v>17.5</v>
      </c>
      <c r="I43" s="64">
        <f>'Cost Worksheet'!$D$80*'Cost Worksheet'!D$10</f>
        <v>20000</v>
      </c>
      <c r="J43" s="38">
        <f t="shared" si="1"/>
        <v>-350000</v>
      </c>
      <c r="K43" s="38">
        <f>IF($A43&gt;='Cost Worksheet'!$D$84,Calculations!J43*'Cost Worksheet'!$D$82,0)</f>
        <v>-122499.99999999999</v>
      </c>
      <c r="L43" s="60">
        <f>-'Cost Worksheet'!$D$17</f>
        <v>-5000</v>
      </c>
      <c r="M43" s="64">
        <f>'Cost Worksheet'!$D$73*'Cost Worksheet'!D$10</f>
        <v>20000</v>
      </c>
      <c r="N43" s="38">
        <f>'Benefits Worksheet'!$D$9*M43/'Cost Worksheet'!$D$80</f>
        <v>2500000</v>
      </c>
      <c r="O43" s="48">
        <f>'Benefits Worksheet'!$D$22*I43*'Cost Worksheet'!D$10/'Cost Worksheet'!$D$80</f>
        <v>240000</v>
      </c>
      <c r="P43" s="48">
        <f>'Benefits Worksheet'!$D$24*I43*'Cost Worksheet'!D$10/'Cost Worksheet'!$D$80</f>
        <v>200000</v>
      </c>
      <c r="Q43" s="48">
        <f>'Benefits Worksheet'!$D$26*I43*'Cost Worksheet'!D$10/'Cost Worksheet'!$D$80</f>
        <v>0</v>
      </c>
      <c r="R43" s="48">
        <f>'Benefits Worksheet'!$D$28*I43*'Cost Worksheet'!D$10/'Cost Worksheet'!$D$80</f>
        <v>0</v>
      </c>
      <c r="S43" s="48">
        <f>'Benefits Worksheet'!$D$33*I43*'Cost Worksheet'!D$10/'Cost Worksheet'!$D$80</f>
        <v>0</v>
      </c>
      <c r="T43" s="48">
        <f>'Benefits Worksheet'!$D$35*I43*'Cost Worksheet'!D$10/'Cost Worksheet'!$D$80</f>
        <v>0</v>
      </c>
      <c r="U43" s="89">
        <f t="shared" si="2"/>
        <v>2482500</v>
      </c>
      <c r="V43" s="16"/>
      <c r="X43" s="16"/>
      <c r="Y43" s="38"/>
      <c r="Z43" s="46">
        <f>'Cost Worksheet'!$D$66</f>
        <v>17.5</v>
      </c>
      <c r="AA43" s="38">
        <f>-Z43*'Cost Worksheet'!$D$80*'Cost Worksheet'!D$10</f>
        <v>-350000</v>
      </c>
      <c r="AB43" s="38">
        <f>AA43*'Cost Worksheet'!$D$82</f>
        <v>-122499.99999999999</v>
      </c>
      <c r="AC43" s="38">
        <f>'Benefits Worksheet'!$D$9*'Cost Worksheet'!D$10</f>
        <v>2500000</v>
      </c>
      <c r="AD43" s="36">
        <f t="shared" si="0"/>
        <v>2027500</v>
      </c>
      <c r="AE43" s="16"/>
      <c r="AF43" s="20"/>
      <c r="AG43" s="16"/>
      <c r="AH43" s="36">
        <f>IF(A43&lt;='ROI Calculator'!$D$8,U43-AD43,0)</f>
        <v>0</v>
      </c>
    </row>
    <row r="44" spans="1:34">
      <c r="A44" s="6">
        <v>37</v>
      </c>
      <c r="B44" s="45"/>
      <c r="C44" s="52"/>
      <c r="D44" s="52"/>
      <c r="E44" s="52"/>
      <c r="F44" s="52"/>
      <c r="G44" s="53"/>
      <c r="H44" s="37">
        <f>'Cost Worksheet'!$D$66</f>
        <v>17.5</v>
      </c>
      <c r="I44" s="64">
        <f>'Cost Worksheet'!$D$80*'Cost Worksheet'!D$10</f>
        <v>20000</v>
      </c>
      <c r="J44" s="38">
        <f t="shared" si="1"/>
        <v>-350000</v>
      </c>
      <c r="K44" s="38">
        <f>IF($A44&gt;='Cost Worksheet'!$D$84,Calculations!J44*'Cost Worksheet'!$D$82,0)</f>
        <v>-122499.99999999999</v>
      </c>
      <c r="L44" s="60">
        <f>-'Cost Worksheet'!$D$17</f>
        <v>-5000</v>
      </c>
      <c r="M44" s="64">
        <f>'Cost Worksheet'!$D$73*'Cost Worksheet'!D$10</f>
        <v>20000</v>
      </c>
      <c r="N44" s="38">
        <f>'Benefits Worksheet'!$D$9*M44/'Cost Worksheet'!$D$80</f>
        <v>2500000</v>
      </c>
      <c r="O44" s="48">
        <f>'Benefits Worksheet'!$D$22*I44*'Cost Worksheet'!D$10/'Cost Worksheet'!$D$80</f>
        <v>240000</v>
      </c>
      <c r="P44" s="48">
        <f>'Benefits Worksheet'!$D$24*I44*'Cost Worksheet'!D$10/'Cost Worksheet'!$D$80</f>
        <v>200000</v>
      </c>
      <c r="Q44" s="48">
        <f>'Benefits Worksheet'!$D$26*I44*'Cost Worksheet'!D$10/'Cost Worksheet'!$D$80</f>
        <v>0</v>
      </c>
      <c r="R44" s="48">
        <f>'Benefits Worksheet'!$D$28*I44*'Cost Worksheet'!D$10/'Cost Worksheet'!$D$80</f>
        <v>0</v>
      </c>
      <c r="S44" s="48">
        <f>'Benefits Worksheet'!$D$33*I44*'Cost Worksheet'!D$10/'Cost Worksheet'!$D$80</f>
        <v>0</v>
      </c>
      <c r="T44" s="48">
        <f>'Benefits Worksheet'!$D$35*I44*'Cost Worksheet'!D$10/'Cost Worksheet'!$D$80</f>
        <v>0</v>
      </c>
      <c r="U44" s="89">
        <f t="shared" si="2"/>
        <v>2482500</v>
      </c>
      <c r="V44" s="16"/>
      <c r="X44" s="16"/>
      <c r="Y44" s="38"/>
      <c r="Z44" s="46">
        <f>'Cost Worksheet'!$D$66</f>
        <v>17.5</v>
      </c>
      <c r="AA44" s="38">
        <f>-Z44*'Cost Worksheet'!$D$80*'Cost Worksheet'!D$10</f>
        <v>-350000</v>
      </c>
      <c r="AB44" s="38">
        <f>AA44*'Cost Worksheet'!$D$82</f>
        <v>-122499.99999999999</v>
      </c>
      <c r="AC44" s="38">
        <f>'Benefits Worksheet'!$D$9*'Cost Worksheet'!D$10</f>
        <v>2500000</v>
      </c>
      <c r="AD44" s="36">
        <f t="shared" si="0"/>
        <v>2027500</v>
      </c>
      <c r="AE44" s="16"/>
      <c r="AF44" s="20"/>
      <c r="AG44" s="16"/>
      <c r="AH44" s="36">
        <f>IF(A44&lt;='ROI Calculator'!$D$8,U44-AD44,0)</f>
        <v>0</v>
      </c>
    </row>
    <row r="45" spans="1:34">
      <c r="A45" s="6">
        <v>38</v>
      </c>
      <c r="B45" s="45"/>
      <c r="C45" s="52"/>
      <c r="D45" s="52"/>
      <c r="E45" s="52"/>
      <c r="F45" s="52"/>
      <c r="G45" s="53"/>
      <c r="H45" s="37">
        <f>'Cost Worksheet'!$D$66</f>
        <v>17.5</v>
      </c>
      <c r="I45" s="64">
        <f>'Cost Worksheet'!$D$80*'Cost Worksheet'!D$10</f>
        <v>20000</v>
      </c>
      <c r="J45" s="38">
        <f t="shared" si="1"/>
        <v>-350000</v>
      </c>
      <c r="K45" s="38">
        <f>IF($A45&gt;='Cost Worksheet'!$D$84,Calculations!J45*'Cost Worksheet'!$D$82,0)</f>
        <v>-122499.99999999999</v>
      </c>
      <c r="L45" s="60">
        <f>-'Cost Worksheet'!$D$17</f>
        <v>-5000</v>
      </c>
      <c r="M45" s="64">
        <f>'Cost Worksheet'!$D$73*'Cost Worksheet'!D$10</f>
        <v>20000</v>
      </c>
      <c r="N45" s="38">
        <f>'Benefits Worksheet'!$D$9*M45/'Cost Worksheet'!$D$80</f>
        <v>2500000</v>
      </c>
      <c r="O45" s="48">
        <f>'Benefits Worksheet'!$D$22*I45*'Cost Worksheet'!D$10/'Cost Worksheet'!$D$80</f>
        <v>240000</v>
      </c>
      <c r="P45" s="48">
        <f>'Benefits Worksheet'!$D$24*I45*'Cost Worksheet'!D$10/'Cost Worksheet'!$D$80</f>
        <v>200000</v>
      </c>
      <c r="Q45" s="48">
        <f>'Benefits Worksheet'!$D$26*I45*'Cost Worksheet'!D$10/'Cost Worksheet'!$D$80</f>
        <v>0</v>
      </c>
      <c r="R45" s="48">
        <f>'Benefits Worksheet'!$D$28*I45*'Cost Worksheet'!D$10/'Cost Worksheet'!$D$80</f>
        <v>0</v>
      </c>
      <c r="S45" s="48">
        <f>'Benefits Worksheet'!$D$33*I45*'Cost Worksheet'!D$10/'Cost Worksheet'!$D$80</f>
        <v>0</v>
      </c>
      <c r="T45" s="48">
        <f>'Benefits Worksheet'!$D$35*I45*'Cost Worksheet'!D$10/'Cost Worksheet'!$D$80</f>
        <v>0</v>
      </c>
      <c r="U45" s="89">
        <f t="shared" si="2"/>
        <v>2482500</v>
      </c>
      <c r="V45" s="16"/>
      <c r="X45" s="16"/>
      <c r="Y45" s="38"/>
      <c r="Z45" s="46">
        <f>'Cost Worksheet'!$D$66</f>
        <v>17.5</v>
      </c>
      <c r="AA45" s="38">
        <f>-Z45*'Cost Worksheet'!$D$80*'Cost Worksheet'!D$10</f>
        <v>-350000</v>
      </c>
      <c r="AB45" s="38">
        <f>AA45*'Cost Worksheet'!$D$82</f>
        <v>-122499.99999999999</v>
      </c>
      <c r="AC45" s="38">
        <f>'Benefits Worksheet'!$D$9*'Cost Worksheet'!D$10</f>
        <v>2500000</v>
      </c>
      <c r="AD45" s="36">
        <f t="shared" si="0"/>
        <v>2027500</v>
      </c>
      <c r="AE45" s="16"/>
      <c r="AF45" s="20"/>
      <c r="AG45" s="16"/>
      <c r="AH45" s="36">
        <f>IF(A45&lt;='ROI Calculator'!$D$8,U45-AD45,0)</f>
        <v>0</v>
      </c>
    </row>
    <row r="46" spans="1:34">
      <c r="A46" s="6">
        <v>39</v>
      </c>
      <c r="B46" s="45"/>
      <c r="C46" s="52"/>
      <c r="D46" s="52"/>
      <c r="E46" s="52"/>
      <c r="F46" s="52"/>
      <c r="G46" s="53"/>
      <c r="H46" s="37">
        <f>'Cost Worksheet'!$D$66</f>
        <v>17.5</v>
      </c>
      <c r="I46" s="64">
        <f>'Cost Worksheet'!$D$80*'Cost Worksheet'!D$10</f>
        <v>20000</v>
      </c>
      <c r="J46" s="38">
        <f t="shared" si="1"/>
        <v>-350000</v>
      </c>
      <c r="K46" s="38">
        <f>IF($A46&gt;='Cost Worksheet'!$D$84,Calculations!J46*'Cost Worksheet'!$D$82,0)</f>
        <v>-122499.99999999999</v>
      </c>
      <c r="L46" s="60">
        <f>-'Cost Worksheet'!$D$17</f>
        <v>-5000</v>
      </c>
      <c r="M46" s="64">
        <f>'Cost Worksheet'!$D$73*'Cost Worksheet'!D$10</f>
        <v>20000</v>
      </c>
      <c r="N46" s="38">
        <f>'Benefits Worksheet'!$D$9*M46/'Cost Worksheet'!$D$80</f>
        <v>2500000</v>
      </c>
      <c r="O46" s="48">
        <f>'Benefits Worksheet'!$D$22*I46*'Cost Worksheet'!D$10/'Cost Worksheet'!$D$80</f>
        <v>240000</v>
      </c>
      <c r="P46" s="48">
        <f>'Benefits Worksheet'!$D$24*I46*'Cost Worksheet'!D$10/'Cost Worksheet'!$D$80</f>
        <v>200000</v>
      </c>
      <c r="Q46" s="48">
        <f>'Benefits Worksheet'!$D$26*I46*'Cost Worksheet'!D$10/'Cost Worksheet'!$D$80</f>
        <v>0</v>
      </c>
      <c r="R46" s="48">
        <f>'Benefits Worksheet'!$D$28*I46*'Cost Worksheet'!D$10/'Cost Worksheet'!$D$80</f>
        <v>0</v>
      </c>
      <c r="S46" s="48">
        <f>'Benefits Worksheet'!$D$33*I46*'Cost Worksheet'!D$10/'Cost Worksheet'!$D$80</f>
        <v>0</v>
      </c>
      <c r="T46" s="48">
        <f>'Benefits Worksheet'!$D$35*I46*'Cost Worksheet'!D$10/'Cost Worksheet'!$D$80</f>
        <v>0</v>
      </c>
      <c r="U46" s="89">
        <f t="shared" si="2"/>
        <v>2482500</v>
      </c>
      <c r="V46" s="16"/>
      <c r="X46" s="16"/>
      <c r="Y46" s="38"/>
      <c r="Z46" s="46">
        <f>'Cost Worksheet'!$D$66</f>
        <v>17.5</v>
      </c>
      <c r="AA46" s="38">
        <f>-Z46*'Cost Worksheet'!$D$80*'Cost Worksheet'!D$10</f>
        <v>-350000</v>
      </c>
      <c r="AB46" s="38">
        <f>AA46*'Cost Worksheet'!$D$82</f>
        <v>-122499.99999999999</v>
      </c>
      <c r="AC46" s="38">
        <f>'Benefits Worksheet'!$D$9*'Cost Worksheet'!D$10</f>
        <v>2500000</v>
      </c>
      <c r="AD46" s="36">
        <f t="shared" si="0"/>
        <v>2027500</v>
      </c>
      <c r="AE46" s="16"/>
      <c r="AF46" s="20"/>
      <c r="AG46" s="16"/>
      <c r="AH46" s="36">
        <f>IF(A46&lt;='ROI Calculator'!$D$8,U46-AD46,0)</f>
        <v>0</v>
      </c>
    </row>
    <row r="47" spans="1:34">
      <c r="A47" s="6">
        <v>40</v>
      </c>
      <c r="B47" s="45"/>
      <c r="C47" s="52"/>
      <c r="D47" s="52"/>
      <c r="E47" s="52"/>
      <c r="F47" s="52"/>
      <c r="G47" s="107"/>
      <c r="H47" s="37">
        <f>'Cost Worksheet'!$D$66</f>
        <v>17.5</v>
      </c>
      <c r="I47" s="64">
        <f>'Cost Worksheet'!$D$80*'Cost Worksheet'!D$10</f>
        <v>20000</v>
      </c>
      <c r="J47" s="38">
        <f t="shared" si="1"/>
        <v>-350000</v>
      </c>
      <c r="K47" s="38">
        <f>IF($A47&gt;='Cost Worksheet'!$D$84,Calculations!J47*'Cost Worksheet'!$D$82,0)</f>
        <v>-122499.99999999999</v>
      </c>
      <c r="L47" s="60">
        <f>-'Cost Worksheet'!$D$17</f>
        <v>-5000</v>
      </c>
      <c r="M47" s="64">
        <f>'Cost Worksheet'!$D$73*'Cost Worksheet'!D$10</f>
        <v>20000</v>
      </c>
      <c r="N47" s="38">
        <f>'Benefits Worksheet'!$D$9*M47/'Cost Worksheet'!$D$80</f>
        <v>2500000</v>
      </c>
      <c r="O47" s="48">
        <f>'Benefits Worksheet'!$D$22*I47*'Cost Worksheet'!D$10/'Cost Worksheet'!$D$80</f>
        <v>240000</v>
      </c>
      <c r="P47" s="48">
        <f>'Benefits Worksheet'!$D$24*I47*'Cost Worksheet'!D$10/'Cost Worksheet'!$D$80</f>
        <v>200000</v>
      </c>
      <c r="Q47" s="48">
        <f>'Benefits Worksheet'!$D$26*I47*'Cost Worksheet'!D$10/'Cost Worksheet'!$D$80</f>
        <v>0</v>
      </c>
      <c r="R47" s="48">
        <f>'Benefits Worksheet'!$D$28*I47*'Cost Worksheet'!D$10/'Cost Worksheet'!$D$80</f>
        <v>0</v>
      </c>
      <c r="S47" s="48">
        <f>'Benefits Worksheet'!$D$33*I47*'Cost Worksheet'!D$10/'Cost Worksheet'!$D$80</f>
        <v>0</v>
      </c>
      <c r="T47" s="48">
        <f>'Benefits Worksheet'!$D$35*I47*'Cost Worksheet'!D$10/'Cost Worksheet'!$D$80</f>
        <v>0</v>
      </c>
      <c r="U47" s="89">
        <f t="shared" si="2"/>
        <v>2482500</v>
      </c>
      <c r="V47" s="16"/>
      <c r="X47" s="16"/>
      <c r="Y47" s="38"/>
      <c r="Z47" s="46">
        <f>'Cost Worksheet'!$D$66</f>
        <v>17.5</v>
      </c>
      <c r="AA47" s="38">
        <f>-Z47*'Cost Worksheet'!$D$80*'Cost Worksheet'!D$10</f>
        <v>-350000</v>
      </c>
      <c r="AB47" s="38">
        <f>AA47*'Cost Worksheet'!$D$82</f>
        <v>-122499.99999999999</v>
      </c>
      <c r="AC47" s="38">
        <f>'Benefits Worksheet'!$D$9*'Cost Worksheet'!D$10</f>
        <v>2500000</v>
      </c>
      <c r="AD47" s="36">
        <f t="shared" si="0"/>
        <v>2027500</v>
      </c>
      <c r="AE47" s="16"/>
      <c r="AF47" s="20"/>
      <c r="AG47" s="16"/>
      <c r="AH47" s="36">
        <f>IF(A47&lt;='ROI Calculator'!$D$8,U47-AD47,0)</f>
        <v>0</v>
      </c>
    </row>
    <row r="48" spans="1:34">
      <c r="A48" s="21" t="s">
        <v>4</v>
      </c>
      <c r="B48" s="50">
        <f ca="1">SUM(B8:INDIRECT("B"&amp;('ROI Calculator'!$D$8+7)))</f>
        <v>-5000</v>
      </c>
      <c r="C48" s="50">
        <f ca="1">SUM(C8:INDIRECT("C"&amp;('ROI Calculator'!$D$8+7)))</f>
        <v>-3900</v>
      </c>
      <c r="D48" s="50">
        <f ca="1">SUM(D8:INDIRECT("D"&amp;('ROI Calculator'!$D$8+7)))</f>
        <v>-29000</v>
      </c>
      <c r="E48" s="50">
        <f ca="1">SUM(E8:INDIRECT("E"&amp;('ROI Calculator'!$D$8+7)))</f>
        <v>-31000</v>
      </c>
      <c r="F48" s="50">
        <f ca="1">SUM(F8:INDIRECT("F"&amp;('ROI Calculator'!$D$8+7)))</f>
        <v>-1213.5</v>
      </c>
      <c r="G48" s="50">
        <f ca="1">SUM(G8:INDIRECT("G"&amp;('ROI Calculator'!$D$8+7)))</f>
        <v>-10500</v>
      </c>
      <c r="H48" s="98"/>
      <c r="I48" s="98"/>
      <c r="J48" s="50">
        <f ca="1">SUM(J8:INDIRECT("J"&amp;('ROI Calculator'!$D$8+7)))</f>
        <v>-1950000</v>
      </c>
      <c r="K48" s="50">
        <f ca="1">SUM(K8:INDIRECT("K"&amp;('ROI Calculator'!$D$8+7)))</f>
        <v>-682500</v>
      </c>
      <c r="L48" s="50">
        <f ca="1">SUM(L8:INDIRECT("L"&amp;('ROI Calculator'!$D$8+7)))</f>
        <v>-30000</v>
      </c>
      <c r="M48" s="98"/>
      <c r="N48" s="50">
        <f ca="1">SUM(N8:INDIRECT("M"&amp;('ROI Calculator'!$D$8+7)))</f>
        <v>13362000</v>
      </c>
      <c r="O48" s="50">
        <f ca="1">SUM(O8:INDIRECT("N"&amp;('ROI Calculator'!$D$8+7)))</f>
        <v>14690000</v>
      </c>
      <c r="P48" s="50">
        <f ca="1">SUM(P8:INDIRECT("O"&amp;('ROI Calculator'!$D$8+7)))</f>
        <v>2640000</v>
      </c>
      <c r="Q48" s="50">
        <f ca="1">SUM(Q8:INDIRECT("P"&amp;('ROI Calculator'!$D$8+7)))</f>
        <v>1200000</v>
      </c>
      <c r="R48" s="50">
        <f ca="1">SUM(R8:INDIRECT("Q"&amp;('ROI Calculator'!$D$8+7)))</f>
        <v>0</v>
      </c>
      <c r="S48" s="50">
        <f ca="1">SUM(S8:INDIRECT("R"&amp;('ROI Calculator'!$D$8+7)))</f>
        <v>0</v>
      </c>
      <c r="T48" s="50">
        <f ca="1">SUM(T8:INDIRECT("S"&amp;('ROI Calculator'!$D$8+7)))</f>
        <v>0</v>
      </c>
      <c r="U48" s="50">
        <f ca="1">SUM(U8:INDIRECT("T"&amp;('ROI Calculator'!$D$8+7)))</f>
        <v>13246886.5</v>
      </c>
      <c r="V48" s="97"/>
      <c r="W48" s="99"/>
      <c r="X48" s="97"/>
      <c r="Y48" s="97"/>
      <c r="Z48" s="98"/>
      <c r="AA48" s="50">
        <f ca="1">SUM(AA8:INDIRECT("y"&amp;('ROI Calculator'!$D$8+7)))</f>
        <v>-2109895</v>
      </c>
      <c r="AB48" s="50">
        <f ca="1">SUM(AB8:INDIRECT("z"&amp;('ROI Calculator'!$D$8+7)))</f>
        <v>-2834895</v>
      </c>
      <c r="AC48" s="50">
        <f ca="1">SUM(AC8:INDIRECT("aa"&amp;('ROI Calculator'!$D$8+7)))</f>
        <v>12165000</v>
      </c>
      <c r="AD48" s="50">
        <f ca="1">SUM(AD8:INDIRECT("ab"&amp;('ROI Calculator'!$D$8+7)))</f>
        <v>26420000</v>
      </c>
      <c r="AE48" s="97"/>
      <c r="AF48" s="99"/>
      <c r="AG48" s="97"/>
      <c r="AH48" s="50">
        <f ca="1">SUM(AH8:INDIRECT("af"&amp;('ROI Calculator'!$D$8+7)))</f>
        <v>1091886.5</v>
      </c>
    </row>
    <row r="49" spans="2:35">
      <c r="B49" s="16"/>
      <c r="C49" s="16"/>
      <c r="D49" s="16"/>
      <c r="E49" s="16"/>
      <c r="F49" s="16"/>
      <c r="G49" s="16"/>
      <c r="J49" s="16"/>
      <c r="V49" s="16"/>
      <c r="X49" s="16"/>
      <c r="Y49" s="16"/>
      <c r="AA49" s="16"/>
      <c r="AB49" s="16"/>
      <c r="AC49" s="16"/>
      <c r="AE49" s="16"/>
      <c r="AG49" s="16"/>
      <c r="AH49" s="90"/>
    </row>
    <row r="50" spans="2:35">
      <c r="B50" s="16"/>
      <c r="C50" s="16"/>
      <c r="D50" s="16"/>
      <c r="E50" s="16"/>
      <c r="F50" s="16"/>
      <c r="G50" s="16"/>
      <c r="H50" s="22"/>
      <c r="I50" s="22"/>
      <c r="J50" s="16"/>
      <c r="K50" s="49"/>
      <c r="L50" s="16"/>
      <c r="M50" s="22"/>
      <c r="N50" s="16"/>
      <c r="O50" s="16"/>
      <c r="P50" s="16"/>
      <c r="Q50" s="16"/>
      <c r="R50" s="16"/>
      <c r="S50" s="16"/>
      <c r="T50" s="16"/>
      <c r="U50" s="51"/>
      <c r="V50" s="16"/>
      <c r="X50" s="16"/>
      <c r="Y50" s="16"/>
      <c r="Z50" s="22"/>
      <c r="AA50" s="16"/>
      <c r="AB50" s="16"/>
      <c r="AC50" s="16"/>
      <c r="AD50" s="51"/>
      <c r="AE50" s="16"/>
      <c r="AG50" s="16"/>
      <c r="AH50" s="101">
        <f>IRR(AH8:AH47)*100</f>
        <v>26.879928230681706</v>
      </c>
      <c r="AI50" s="31" t="str">
        <f>" = Internal Rate of Return from"</f>
        <v xml:space="preserve"> = Internal Rate of Return from</v>
      </c>
    </row>
    <row r="51" spans="2:35">
      <c r="AH51" s="51"/>
      <c r="AI51" s="3" t="s">
        <v>28</v>
      </c>
    </row>
  </sheetData>
  <mergeCells count="11">
    <mergeCell ref="B4:F5"/>
    <mergeCell ref="A1:U1"/>
    <mergeCell ref="B2:Q2"/>
    <mergeCell ref="H4:L5"/>
    <mergeCell ref="F6:F7"/>
    <mergeCell ref="E6:E7"/>
    <mergeCell ref="D6:D7"/>
    <mergeCell ref="C6:C7"/>
    <mergeCell ref="B6:B7"/>
    <mergeCell ref="G6:G7"/>
    <mergeCell ref="N4:U5"/>
  </mergeCells>
  <conditionalFormatting sqref="AH50">
    <cfRule type="expression" dxfId="6" priority="5">
      <formula>"&lt;0"</formula>
    </cfRule>
  </conditionalFormatting>
  <pageMargins left="0.7" right="0.7" top="0.75" bottom="0.75" header="0.3" footer="0.3"/>
  <pageSetup orientation="portrait" horizontalDpi="4294967292" verticalDpi="4294967292" r:id="rId1"/>
  <extLst>
    <ext xmlns:x14="http://schemas.microsoft.com/office/spreadsheetml/2009/9/main" uri="{78C0D931-6437-407d-A8EE-F0AAD7539E65}">
      <x14:conditionalFormattings>
        <x14:conditionalFormatting xmlns:xm="http://schemas.microsoft.com/office/excel/2006/main">
          <x14:cfRule type="expression" priority="9" id="{8614EF54-3A6B-4DA9-9450-EB7B924AB04C}">
            <xm:f>$A8&gt;'ROI Calculator'!$D$8</xm:f>
            <x14:dxf>
              <font>
                <color theme="0" tint="-0.14996795556505021"/>
              </font>
              <fill>
                <patternFill>
                  <bgColor theme="0"/>
                </patternFill>
              </fill>
            </x14:dxf>
          </x14:cfRule>
          <xm:sqref>H8:L47</xm:sqref>
        </x14:conditionalFormatting>
        <x14:conditionalFormatting xmlns:xm="http://schemas.microsoft.com/office/excel/2006/main">
          <x14:cfRule type="expression" priority="8" id="{18619E10-654E-4B49-9C40-37C46261A61E}">
            <xm:f>$A8&gt;'ROI Calculator'!$D$8</xm:f>
            <x14:dxf>
              <font>
                <color theme="0" tint="-0.24994659260841701"/>
              </font>
            </x14:dxf>
          </x14:cfRule>
          <xm:sqref>N8:U47</xm:sqref>
        </x14:conditionalFormatting>
        <x14:conditionalFormatting xmlns:xm="http://schemas.microsoft.com/office/excel/2006/main">
          <x14:cfRule type="expression" priority="7" id="{5D9E4C9A-50F5-463D-96A6-46D2ACD8211B}">
            <xm:f>$A8&gt;'ROI Calculator'!$D$8</xm:f>
            <x14:dxf>
              <font>
                <color theme="0" tint="-0.24994659260841701"/>
              </font>
            </x14:dxf>
          </x14:cfRule>
          <xm:sqref>Y8:AH47</xm:sqref>
        </x14:conditionalFormatting>
        <x14:conditionalFormatting xmlns:xm="http://schemas.microsoft.com/office/excel/2006/main">
          <x14:cfRule type="expression" priority="4" id="{D91D1AFC-F7F9-4D97-9734-4CD11C7EBC47}">
            <xm:f>$A8&gt;'Cost Worksheet'!$D$8</xm:f>
            <x14:dxf>
              <font>
                <color theme="0" tint="-0.14996795556505021"/>
              </font>
              <fill>
                <patternFill>
                  <bgColor theme="0" tint="-0.14996795556505021"/>
                </patternFill>
              </fill>
            </x14:dxf>
          </x14:cfRule>
          <xm:sqref>B8:G11</xm:sqref>
        </x14:conditionalFormatting>
        <x14:conditionalFormatting xmlns:xm="http://schemas.microsoft.com/office/excel/2006/main">
          <x14:cfRule type="expression" priority="2" id="{3C922D9B-BF86-4120-A2D1-59D0FF5650BF}">
            <xm:f>$A8&gt;'ROI Calculator'!$D$8</xm:f>
            <x14:dxf>
              <font>
                <color theme="0" tint="-0.14996795556505021"/>
              </font>
              <fill>
                <patternFill>
                  <bgColor theme="0"/>
                </patternFill>
              </fill>
            </x14:dxf>
          </x14:cfRule>
          <xm:sqref>M8:M13</xm:sqref>
        </x14:conditionalFormatting>
        <x14:conditionalFormatting xmlns:xm="http://schemas.microsoft.com/office/excel/2006/main">
          <x14:cfRule type="expression" priority="1" id="{4BA7F154-5A33-4944-BFF5-441681A2F374}">
            <xm:f>$A14&gt;'ROI Calculator'!$D$8</xm:f>
            <x14:dxf>
              <font>
                <color theme="0" tint="-0.14996795556505021"/>
              </font>
              <fill>
                <patternFill>
                  <bgColor theme="0"/>
                </patternFill>
              </fill>
            </x14:dxf>
          </x14:cfRule>
          <xm:sqref>M14:M47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and Instructions</vt:lpstr>
      <vt:lpstr>ROI Calculator</vt:lpstr>
      <vt:lpstr>Cost Worksheet</vt:lpstr>
      <vt:lpstr>Benefits Worksheet</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Windows User</cp:lastModifiedBy>
  <dcterms:created xsi:type="dcterms:W3CDTF">2016-11-06T02:09:08Z</dcterms:created>
  <dcterms:modified xsi:type="dcterms:W3CDTF">2017-11-17T19:25:20Z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